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versi-my.sharepoint.com/personal/nino_vashakidze_aversiclinic_ge/Documents/other/Desktop/"/>
    </mc:Choice>
  </mc:AlternateContent>
  <xr:revisionPtr revIDLastSave="1" documentId="13_ncr:1_{D078551D-B771-4BBA-83E5-77302AB9F4AE}" xr6:coauthVersionLast="47" xr6:coauthVersionMax="47" xr10:uidLastSave="{5DAF8125-89DD-451C-BCDE-8228A1B3119D}"/>
  <bookViews>
    <workbookView xWindow="-110" yWindow="-110" windowWidth="19420" windowHeight="11500" tabRatio="594" xr2:uid="{6684F166-DC2B-4F3B-BA28-101C617C3F27}"/>
  </bookViews>
  <sheets>
    <sheet name="ნაერთი" sheetId="6" r:id="rId1"/>
    <sheet name="gare ter." sheetId="1" r:id="rId2"/>
    <sheet name="tboqseli-betoni" sheetId="5" r:id="rId3"/>
    <sheet name="სანიაღვრე" sheetId="7" r:id="rId4"/>
    <sheet name="სარწყავი სისტემის მოწყობა" sheetId="9" r:id="rId5"/>
    <sheet name="დავალება" sheetId="3" state="hidden" r:id="rId6"/>
    <sheet name="თბოქსელი მოცულობები" sheetId="4" state="hidden" r:id="rId7"/>
    <sheet name="მოცულობები - ტერიტ." sheetId="2" state="hidden" r:id="rId8"/>
    <sheet name="მოცულობები ყველა" sheetId="8" state="hidden" r:id="rId9"/>
  </sheets>
  <definedNames>
    <definedName name="_xlnm._FilterDatabase" localSheetId="1" hidden="1">'gare ter.'!$A$10:$M$149</definedName>
    <definedName name="_xlnm._FilterDatabase" localSheetId="2" hidden="1">'tboqseli-betoni'!$A$8:$WSP$111</definedName>
    <definedName name="e4ererert" localSheetId="2">#REF!</definedName>
    <definedName name="e4ererert">#REF!</definedName>
    <definedName name="f" localSheetId="2">#REF!</definedName>
    <definedName name="f">#REF!</definedName>
    <definedName name="g" localSheetId="2">#REF!</definedName>
    <definedName name="g">#REF!</definedName>
    <definedName name="ika" localSheetId="2">#REF!</definedName>
    <definedName name="ika">#REF!</definedName>
    <definedName name="_xlnm.Print_Area" localSheetId="1">'gare ter.'!$A$4:$L$149</definedName>
    <definedName name="_xlnm.Print_Area" localSheetId="2">'tboqseli-betoni'!$A$1:$L$121</definedName>
    <definedName name="_xlnm.Print_Area" localSheetId="0">ნაერთი!$A$1:$C$17</definedName>
    <definedName name="_xlnm.Print_Area" localSheetId="3">სანიაღვრე!$A$1:$J$57</definedName>
    <definedName name="_xlnm.Print_Titles" localSheetId="1">'gare ter.'!$10:$10</definedName>
    <definedName name="_xlnm.Print_Titles" localSheetId="2">'tboqseli-betoni'!$8:$8</definedName>
    <definedName name="Summary">#REF!</definedName>
    <definedName name="USD" localSheetId="2">#REF!</definedName>
    <definedName name="US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5" i="5" l="1"/>
  <c r="D79" i="1"/>
  <c r="E6" i="4" l="1"/>
  <c r="E15" i="1" l="1"/>
  <c r="A18" i="7" l="1"/>
  <c r="I33" i="9" l="1"/>
  <c r="G35" i="9" s="1"/>
  <c r="G37" i="9" s="1"/>
  <c r="G39" i="9" s="1"/>
  <c r="I41" i="9" s="1"/>
  <c r="C10" i="6" s="1"/>
  <c r="D133" i="1"/>
  <c r="D81" i="1"/>
  <c r="A2" i="7" l="1"/>
  <c r="A2" i="1"/>
  <c r="A2" i="5"/>
  <c r="A9" i="6"/>
  <c r="A10" i="6" s="1"/>
  <c r="E22" i="7"/>
  <c r="A11" i="7"/>
  <c r="A12" i="7" s="1"/>
  <c r="A13" i="7" s="1"/>
  <c r="A14" i="7" s="1"/>
  <c r="E35" i="7"/>
  <c r="E40" i="7" s="1"/>
  <c r="E34" i="7"/>
  <c r="E36" i="7" s="1"/>
  <c r="E25" i="7"/>
  <c r="E27" i="7" s="1"/>
  <c r="E26" i="7"/>
  <c r="E32" i="7" s="1"/>
  <c r="D37" i="7"/>
  <c r="D28" i="7"/>
  <c r="C24" i="8"/>
  <c r="C23" i="8"/>
  <c r="C22" i="8"/>
  <c r="C21" i="8"/>
  <c r="E17" i="7" s="1"/>
  <c r="C20" i="8"/>
  <c r="C9" i="8"/>
  <c r="C8" i="8"/>
  <c r="C7" i="8"/>
  <c r="C4" i="8"/>
  <c r="C3" i="8"/>
  <c r="A15" i="7" l="1"/>
  <c r="A17" i="7" s="1"/>
  <c r="A19" i="7" s="1"/>
  <c r="A20" i="7" s="1"/>
  <c r="A22" i="7" s="1"/>
  <c r="A23" i="7" s="1"/>
  <c r="A24" i="7" s="1"/>
  <c r="A25" i="7" s="1"/>
  <c r="A34" i="7" s="1"/>
  <c r="A44" i="7" s="1"/>
  <c r="A45" i="7" s="1"/>
  <c r="A46" i="7" s="1"/>
  <c r="A47" i="7" s="1"/>
  <c r="A48" i="7" s="1"/>
  <c r="A49" i="7" s="1"/>
  <c r="A50" i="7" s="1"/>
  <c r="E18" i="7"/>
  <c r="E23" i="7"/>
  <c r="E24" i="7" s="1"/>
  <c r="E37" i="7"/>
  <c r="E14" i="7"/>
  <c r="E28" i="7"/>
  <c r="E38" i="7"/>
  <c r="E29" i="7"/>
  <c r="E31" i="7"/>
  <c r="E42" i="7"/>
  <c r="E33" i="7"/>
  <c r="E41" i="7"/>
  <c r="E13" i="7"/>
  <c r="E10" i="7"/>
  <c r="E15" i="7"/>
  <c r="A23" i="5"/>
  <c r="A27" i="5" s="1"/>
  <c r="E12" i="5"/>
  <c r="E12" i="7" l="1"/>
  <c r="E11" i="7"/>
  <c r="E39" i="7"/>
  <c r="E30" i="7"/>
  <c r="E16" i="5" l="1"/>
  <c r="C9" i="6" l="1"/>
  <c r="D104" i="5"/>
  <c r="D95" i="5"/>
  <c r="D86" i="5"/>
  <c r="D76" i="5"/>
  <c r="D67" i="5"/>
  <c r="D58" i="5"/>
  <c r="D48" i="5"/>
  <c r="D39" i="5"/>
  <c r="D30" i="5"/>
  <c r="A36" i="5"/>
  <c r="A45" i="5" s="1"/>
  <c r="A55" i="5" l="1"/>
  <c r="A64" i="5" s="1"/>
  <c r="A73" i="5" s="1"/>
  <c r="A83" i="5" s="1"/>
  <c r="A92" i="5" s="1"/>
  <c r="A101" i="5" s="1"/>
  <c r="C8" i="4" l="1"/>
  <c r="C6" i="4"/>
  <c r="C4" i="4"/>
  <c r="Q6" i="4" l="1"/>
  <c r="E37" i="5" s="1"/>
  <c r="I6" i="4"/>
  <c r="I4" i="4"/>
  <c r="Q4" i="4"/>
  <c r="E65" i="5" s="1"/>
  <c r="I8" i="4"/>
  <c r="Q8" i="4"/>
  <c r="E93" i="5" s="1"/>
  <c r="D4" i="4"/>
  <c r="D8" i="4"/>
  <c r="D6" i="4"/>
  <c r="E45" i="5" l="1"/>
  <c r="E8" i="4"/>
  <c r="E101" i="5"/>
  <c r="E73" i="5"/>
  <c r="E4" i="4"/>
  <c r="D9" i="4"/>
  <c r="E71" i="5"/>
  <c r="E70" i="5"/>
  <c r="E43" i="5"/>
  <c r="E42" i="5"/>
  <c r="E98" i="5"/>
  <c r="E99" i="5"/>
  <c r="M8" i="4"/>
  <c r="E84" i="5" s="1"/>
  <c r="E102" i="5"/>
  <c r="E74" i="5"/>
  <c r="M4" i="4"/>
  <c r="E56" i="5" s="1"/>
  <c r="E46" i="5"/>
  <c r="M6" i="4"/>
  <c r="E28" i="5" s="1"/>
  <c r="E131" i="1"/>
  <c r="C9" i="2"/>
  <c r="E113" i="1" s="1"/>
  <c r="G5" i="2"/>
  <c r="C128" i="1"/>
  <c r="C123" i="1"/>
  <c r="C122" i="1"/>
  <c r="E100" i="1"/>
  <c r="E87" i="1" s="1"/>
  <c r="C5" i="2"/>
  <c r="E65" i="1" s="1"/>
  <c r="E73" i="1" s="1"/>
  <c r="E59" i="1" s="1"/>
  <c r="C6" i="2"/>
  <c r="E31" i="1" s="1"/>
  <c r="E24" i="1" s="1"/>
  <c r="C26" i="2"/>
  <c r="C25" i="2"/>
  <c r="C24" i="2"/>
  <c r="C23" i="2"/>
  <c r="C22" i="2"/>
  <c r="C11" i="2"/>
  <c r="E130" i="1" s="1"/>
  <c r="C10" i="2"/>
  <c r="C4" i="2"/>
  <c r="G4" i="2" l="1"/>
  <c r="C8" i="2"/>
  <c r="E121" i="1" s="1"/>
  <c r="E128" i="1" s="1"/>
  <c r="E13" i="5"/>
  <c r="E23" i="5"/>
  <c r="E17" i="5"/>
  <c r="E41" i="5"/>
  <c r="E108" i="5"/>
  <c r="E107" i="5"/>
  <c r="E55" i="5"/>
  <c r="E9" i="4"/>
  <c r="F4" i="4"/>
  <c r="E90" i="5"/>
  <c r="E89" i="5"/>
  <c r="E81" i="5"/>
  <c r="E75" i="5"/>
  <c r="E77" i="5"/>
  <c r="E76" i="5"/>
  <c r="E12" i="1"/>
  <c r="E51" i="5"/>
  <c r="E52" i="5"/>
  <c r="E79" i="5"/>
  <c r="E80" i="5"/>
  <c r="E83" i="5"/>
  <c r="F8" i="4"/>
  <c r="E92" i="5" s="1"/>
  <c r="E34" i="5"/>
  <c r="E33" i="5"/>
  <c r="E69" i="5"/>
  <c r="E62" i="5"/>
  <c r="E61" i="5"/>
  <c r="E97" i="5"/>
  <c r="E49" i="5"/>
  <c r="E48" i="5"/>
  <c r="E47" i="5"/>
  <c r="E53" i="5"/>
  <c r="E109" i="5"/>
  <c r="E104" i="5"/>
  <c r="E105" i="5"/>
  <c r="E103" i="5"/>
  <c r="E27" i="5"/>
  <c r="F6" i="4"/>
  <c r="E36" i="5" s="1"/>
  <c r="E124" i="1"/>
  <c r="E94" i="1"/>
  <c r="E37" i="1"/>
  <c r="E17" i="1"/>
  <c r="E52" i="1"/>
  <c r="E122" i="1" l="1"/>
  <c r="E125" i="1"/>
  <c r="E123" i="1"/>
  <c r="E40" i="5"/>
  <c r="E38" i="5"/>
  <c r="E39" i="5"/>
  <c r="E44" i="5"/>
  <c r="E64" i="5"/>
  <c r="F9" i="4"/>
  <c r="E50" i="5"/>
  <c r="E58" i="5"/>
  <c r="E57" i="5"/>
  <c r="E63" i="5"/>
  <c r="E59" i="5"/>
  <c r="E88" i="5"/>
  <c r="E25" i="5"/>
  <c r="E24" i="5"/>
  <c r="E78" i="5"/>
  <c r="E32" i="5"/>
  <c r="E100" i="5"/>
  <c r="E94" i="5"/>
  <c r="E96" i="5"/>
  <c r="E95" i="5"/>
  <c r="E85" i="5"/>
  <c r="E91" i="5"/>
  <c r="E86" i="5"/>
  <c r="E87" i="5"/>
  <c r="E60" i="5"/>
  <c r="E35" i="5"/>
  <c r="E29" i="5"/>
  <c r="E30" i="5"/>
  <c r="E31" i="5"/>
  <c r="E106" i="5"/>
  <c r="E21" i="5"/>
  <c r="E20" i="5"/>
  <c r="E18" i="5"/>
  <c r="E22" i="5"/>
  <c r="E127" i="1"/>
  <c r="E126" i="1" l="1"/>
  <c r="E68" i="5"/>
  <c r="E67" i="5"/>
  <c r="E66" i="5"/>
  <c r="E72" i="5"/>
  <c r="D137" i="1" l="1"/>
  <c r="D71" i="1" l="1"/>
  <c r="E47" i="1" l="1"/>
  <c r="E134" i="1" l="1"/>
  <c r="E132" i="1"/>
  <c r="E133" i="1"/>
  <c r="E135" i="1"/>
  <c r="E41" i="1"/>
  <c r="E138" i="1" l="1"/>
  <c r="E136" i="1"/>
  <c r="E137" i="1"/>
  <c r="E77" i="1"/>
  <c r="E81" i="1" s="1"/>
  <c r="E69" i="1"/>
  <c r="E82" i="1" l="1"/>
  <c r="E104" i="1"/>
  <c r="E107" i="1" s="1"/>
  <c r="E108" i="1"/>
  <c r="E111" i="1" l="1"/>
  <c r="E110" i="1"/>
  <c r="E109" i="1"/>
  <c r="E106" i="1"/>
  <c r="E105" i="1"/>
  <c r="E103" i="1"/>
  <c r="E102" i="1"/>
  <c r="E101" i="1"/>
  <c r="E99" i="1"/>
  <c r="E98" i="1"/>
  <c r="D97" i="1"/>
  <c r="E97" i="1" s="1"/>
  <c r="D96" i="1"/>
  <c r="E96" i="1" s="1"/>
  <c r="E95" i="1"/>
  <c r="D84" i="1"/>
  <c r="E84" i="1" s="1"/>
  <c r="E85" i="1"/>
  <c r="E83" i="1"/>
  <c r="E76" i="1"/>
  <c r="E75" i="1"/>
  <c r="E74" i="1"/>
  <c r="E80" i="1"/>
  <c r="E78" i="1"/>
  <c r="E79" i="1"/>
  <c r="E72" i="1"/>
  <c r="E71" i="1"/>
  <c r="E70" i="1"/>
  <c r="E68" i="1"/>
  <c r="E67" i="1"/>
  <c r="E66" i="1"/>
  <c r="E64" i="1"/>
  <c r="E63" i="1"/>
  <c r="E60" i="1"/>
  <c r="D62" i="1"/>
  <c r="E62" i="1" s="1"/>
  <c r="D61" i="1"/>
  <c r="E61" i="1" s="1"/>
  <c r="E93" i="1" l="1"/>
  <c r="E92" i="1"/>
  <c r="E91" i="1"/>
  <c r="E90" i="1"/>
  <c r="E89" i="1"/>
  <c r="E88" i="1"/>
  <c r="E58" i="1"/>
  <c r="E57" i="1"/>
  <c r="E56" i="1"/>
  <c r="E55" i="1"/>
  <c r="E54" i="1"/>
  <c r="E53" i="1"/>
  <c r="E120" i="1"/>
  <c r="E117" i="1"/>
  <c r="E116" i="1"/>
  <c r="E115" i="1"/>
  <c r="E114" i="1"/>
  <c r="E50" i="1"/>
  <c r="E49" i="1"/>
  <c r="E48" i="1"/>
  <c r="E46" i="1"/>
  <c r="C46" i="1"/>
  <c r="E45" i="1"/>
  <c r="E44" i="1"/>
  <c r="E43" i="1"/>
  <c r="E42" i="1"/>
  <c r="E36" i="1"/>
  <c r="E35" i="1"/>
  <c r="E34" i="1"/>
  <c r="E33" i="1"/>
  <c r="E32" i="1"/>
  <c r="C36" i="1"/>
  <c r="E119" i="1" l="1"/>
  <c r="E118" i="1"/>
  <c r="E40" i="1"/>
  <c r="E38" i="1"/>
  <c r="E39" i="1"/>
  <c r="E30" i="1" l="1"/>
  <c r="E29" i="1"/>
  <c r="E28" i="1"/>
  <c r="E27" i="1"/>
  <c r="E26" i="1"/>
  <c r="E25" i="1"/>
  <c r="E23" i="1"/>
  <c r="E22" i="1"/>
  <c r="E21" i="1"/>
  <c r="E20" i="1"/>
  <c r="E19" i="1"/>
  <c r="E18" i="1"/>
  <c r="E14" i="1"/>
  <c r="E13" i="1"/>
  <c r="A15" i="1" l="1"/>
  <c r="A17" i="1" s="1"/>
  <c r="A24" i="1" s="1"/>
  <c r="A31" i="1" s="1"/>
  <c r="A37" i="1" s="1"/>
  <c r="A41" i="1" s="1"/>
  <c r="A47" i="1" s="1"/>
  <c r="A52" i="1" l="1"/>
  <c r="A59" i="1" s="1"/>
  <c r="A65" i="1" s="1"/>
  <c r="A69" i="1" s="1"/>
  <c r="A73" i="1" s="1"/>
  <c r="A77" i="1" s="1"/>
  <c r="A82" i="1" s="1"/>
  <c r="A87" i="1" s="1"/>
  <c r="C120" i="1" l="1"/>
  <c r="C115" i="1"/>
  <c r="C114" i="1"/>
  <c r="C7" i="6" l="1"/>
  <c r="A94" i="1"/>
  <c r="A100" i="1" s="1"/>
  <c r="A104" i="1" s="1"/>
  <c r="A108" i="1" s="1"/>
  <c r="A113" i="1" s="1"/>
  <c r="A121" i="1" s="1"/>
  <c r="A130" i="1" l="1"/>
  <c r="A131" i="1" s="1"/>
  <c r="A135" i="1" s="1"/>
  <c r="C8" i="6" l="1"/>
  <c r="C11" i="6" s="1"/>
</calcChain>
</file>

<file path=xl/sharedStrings.xml><?xml version="1.0" encoding="utf-8"?>
<sst xmlns="http://schemas.openxmlformats.org/spreadsheetml/2006/main" count="1034" uniqueCount="255">
  <si>
    <t>#</t>
  </si>
  <si>
    <t>სამუშაოების და დანახარჯების დასახელება</t>
  </si>
  <si>
    <t>რაოდენობა</t>
  </si>
  <si>
    <t>მასალა</t>
  </si>
  <si>
    <t>ხელფასი</t>
  </si>
  <si>
    <t>ტრანსპორტი (მექანიზმები)</t>
  </si>
  <si>
    <t>განზ. ერთ-ზე</t>
  </si>
  <si>
    <t>სულ</t>
  </si>
  <si>
    <t>შრომის დანახარჯები</t>
  </si>
  <si>
    <t>ქვიშა - ცემენტის ხსნარი მ100</t>
  </si>
  <si>
    <t>ცემენტი</t>
  </si>
  <si>
    <t>ტონა</t>
  </si>
  <si>
    <t>ტერიტორიაზე შავი მიწის ფენის შემოტანა და გაშლა</t>
  </si>
  <si>
    <t>ტერიტორიაზე ბალახის ბელტის დაგება</t>
  </si>
  <si>
    <t>ბალახის ბელტი</t>
  </si>
  <si>
    <t>ცალი</t>
  </si>
  <si>
    <t xml:space="preserve">ტერიტორიის მოსამზადებელი სამუშაოები </t>
  </si>
  <si>
    <t xml:space="preserve">ექსკავატორი </t>
  </si>
  <si>
    <t xml:space="preserve">ავტოთვითმცლელი </t>
  </si>
  <si>
    <t xml:space="preserve">ნორმატიული რესურსი </t>
  </si>
  <si>
    <t>განზომილება</t>
  </si>
  <si>
    <t>-</t>
  </si>
  <si>
    <t xml:space="preserve">გრუნტის დამუშავება ხელით </t>
  </si>
  <si>
    <t xml:space="preserve">ზედაპირული მიწის მოჭრა, აგროვება  დატვირთვა და გატანა ტერიტორიიდან,  20 კმ. მანძილზე </t>
  </si>
  <si>
    <t xml:space="preserve">შრომის დანახარჯი </t>
  </si>
  <si>
    <t>ღორღი (20-40მმ.)</t>
  </si>
  <si>
    <t>ასფალტობეტონის საფარისთვის საფუძვლის მოსამზადებელი ზედა ფენის მოწყობა ფრაქციული ღორღით (20÷40მმ.) სისქით 20სმ.</t>
  </si>
  <si>
    <t>ასფალტობეტონის საფარისთვის საფუძვლის მოსამზადებელი ქვედა ფენის მოწყობა ქვიშა-ხრეშოვანი ნარევით, სისქით 30სმ.</t>
  </si>
  <si>
    <t>მ3</t>
  </si>
  <si>
    <t xml:space="preserve">ასფალტის დამგები </t>
  </si>
  <si>
    <t xml:space="preserve">მსხვილმარცვლოვანი ასფალტობეტონის ნარევი </t>
  </si>
  <si>
    <t xml:space="preserve">სხვა ხარჯები </t>
  </si>
  <si>
    <t xml:space="preserve">წვრილმარცვლოვანი ასფალტობეტონის ნარევი </t>
  </si>
  <si>
    <t>ბეტონის ბორდიურების მოწყობა</t>
  </si>
  <si>
    <t xml:space="preserve">თხევადი ბითუმი </t>
  </si>
  <si>
    <t xml:space="preserve">ასფალტის საფარის ქვედა ფენაზე თხევადი ბითუმის წასმა </t>
  </si>
  <si>
    <t xml:space="preserve">ასფალტის საფარის ზედა ფენაზე თხევადი ბითუმის წასმა </t>
  </si>
  <si>
    <t>წვრილმარცვლოვანი ასფალტობეტონის საფარის მოწყობა სისქით 4 სმ.</t>
  </si>
  <si>
    <t xml:space="preserve">მ/სთ </t>
  </si>
  <si>
    <t>მ2</t>
  </si>
  <si>
    <t>კგ.</t>
  </si>
  <si>
    <t xml:space="preserve">გრ.მ </t>
  </si>
  <si>
    <t>ტნ.</t>
  </si>
  <si>
    <t xml:space="preserve">ასფალტის საფარის მოწყობა </t>
  </si>
  <si>
    <t xml:space="preserve">მტკეპნავი </t>
  </si>
  <si>
    <t xml:space="preserve">გრეიდერი </t>
  </si>
  <si>
    <t>ბულდოზერი</t>
  </si>
  <si>
    <t>მტკეპნავი</t>
  </si>
  <si>
    <t xml:space="preserve">ქვიშის მოსამზადებელ ფენის  თავზე 1 ფენა  გეოტექსტილის  დაფენა </t>
  </si>
  <si>
    <t xml:space="preserve">გეოტექსტილი </t>
  </si>
  <si>
    <t>ბეტონის მჭიმის მოწყობა, სისქით 50მმ., ბეტონით ბ-15</t>
  </si>
  <si>
    <t xml:space="preserve">ბეტონის ეკო ფილა </t>
  </si>
  <si>
    <t xml:space="preserve">ნოყიერი მიწა </t>
  </si>
  <si>
    <t>ქვაფენილის ქვეშ  საფუძვლის მოსამზადებელი ფენის მოწყობა ქვიშა-ხრეშოვანი ნარევით, სისქით 15სმ.</t>
  </si>
  <si>
    <t xml:space="preserve">ქვიშის მოსამზადებელ ფენის  თავზე არმატურის ბადის მოწყობა </t>
  </si>
  <si>
    <t xml:space="preserve">არმატურის ბადე </t>
  </si>
  <si>
    <t xml:space="preserve">სხვადასხვა სამუშაოები </t>
  </si>
  <si>
    <t>საპარკირე ადგილების დახაზვა, მარკირება</t>
  </si>
  <si>
    <t>მსხვილმარცვლოვანი ასფალტობეტონის საფარის მოწყობა სისქით 5 სმ.</t>
  </si>
  <si>
    <t>ჯ ა მ ი:</t>
  </si>
  <si>
    <t xml:space="preserve"> შრომის უსაფრთხოების და დროებითი შენობა-ნაგებობები </t>
  </si>
  <si>
    <t>ზედნადები ხარჯები</t>
  </si>
  <si>
    <t>სახარჯთაღრიცხვო მოგება</t>
  </si>
  <si>
    <t>დ ღ გ</t>
  </si>
  <si>
    <t>სულ ხარჯთაღრიცხვით</t>
  </si>
  <si>
    <t xml:space="preserve">ლარი </t>
  </si>
  <si>
    <t xml:space="preserve">ქვიშა-ხრეშოვანი ნარევი </t>
  </si>
  <si>
    <t>ბეტონის ბორდიური 30*15სმ.</t>
  </si>
  <si>
    <t>შავი ქვიშა</t>
  </si>
  <si>
    <t>ბეტონი B15</t>
  </si>
  <si>
    <t>სულ,               ჯამი:</t>
  </si>
  <si>
    <t>ავერსი-გორი გარე ტერიტორიის განაწილება</t>
  </si>
  <si>
    <t>სივრცე</t>
  </si>
  <si>
    <t>ფართი</t>
  </si>
  <si>
    <t>განზ.</t>
  </si>
  <si>
    <t>გამწვანება</t>
  </si>
  <si>
    <t>ღრუტიანი ფილა</t>
  </si>
  <si>
    <t>ასფალტი</t>
  </si>
  <si>
    <t>ბაზალტის ქვა</t>
  </si>
  <si>
    <t>სანიაღვრე არხი</t>
  </si>
  <si>
    <t>პარკინგის საღებავი</t>
  </si>
  <si>
    <t>მ</t>
  </si>
  <si>
    <t>ღობე</t>
  </si>
  <si>
    <t>სისქე</t>
  </si>
  <si>
    <t>დასახელება</t>
  </si>
  <si>
    <t>სიგრძე</t>
  </si>
  <si>
    <t>ჭა</t>
  </si>
  <si>
    <t>Ø</t>
  </si>
  <si>
    <t>სიგანე</t>
  </si>
  <si>
    <t>სიმაღლე</t>
  </si>
  <si>
    <t>სუსტი დენები</t>
  </si>
  <si>
    <t>სანიაღვრე</t>
  </si>
  <si>
    <t>სარწყავი</t>
  </si>
  <si>
    <t>კანალიზაცია</t>
  </si>
  <si>
    <t>თბოქსელის არხი</t>
  </si>
  <si>
    <t>1 ძირიანი რგოლი</t>
  </si>
  <si>
    <t>თავსახური რკ ბეტონის კონსტრუქციით და მანქანაგამძლე ხუფით</t>
  </si>
  <si>
    <t>##</t>
  </si>
  <si>
    <t>სამუშაოს დასახელება</t>
  </si>
  <si>
    <t>სარინელის მოწყობა</t>
  </si>
  <si>
    <t>ბაზალტის 20 მმ ფილები</t>
  </si>
  <si>
    <t>ბორდიური სარინელთან</t>
  </si>
  <si>
    <t xml:space="preserve">ბაზალტი სიმაღლე 300მმ სიგანე 150 მმ, </t>
  </si>
  <si>
    <t xml:space="preserve">ბორდიური სხვა დანაჩენი </t>
  </si>
  <si>
    <t xml:space="preserve">ბეტონი სიმაღლე 300მმ სიგანე 150 მმ, </t>
  </si>
  <si>
    <t>შენობასთან არსებული გაზონი</t>
  </si>
  <si>
    <t>შენობის გარშემოა მხოლოდ ბაზალტი დანარჩენი ასფალტი</t>
  </si>
  <si>
    <t>შენარჩუნდეს მწვანე საფარის ფართობი</t>
  </si>
  <si>
    <t>სარწყავი სისტემა დაერთდეს სახანძრი ავზზე</t>
  </si>
  <si>
    <t>ლ ა ნ დ შ ა ფ ტ ი ს    დ ა ვ ა ლ ე ბ ა</t>
  </si>
  <si>
    <t>ღრუტანიაი ფილა</t>
  </si>
  <si>
    <t xml:space="preserve">ბეტონის ღრუტანიანი ფილის (ბალახის ფილა)  მოწყობა </t>
  </si>
  <si>
    <t>ღრუტანიანი ფილის ქვეშ  საფუძვლის მოსამზადებელი ფენის მოწყობა ქვიშა-ხრეშოვანი ნარევით, სისქით 30სმ.</t>
  </si>
  <si>
    <t>ღრუტანიანი ფილის ქვეშ  საფუძვლის მოსამზადებელი ფენის მოწყობა ქვიშით, სისქით 20სმ.</t>
  </si>
  <si>
    <t xml:space="preserve">ბეტონის ღრუტანიანი ფილის  მოწყობა </t>
  </si>
  <si>
    <t xml:space="preserve">ღრუტანიანი ფილის ამოვსება ნოყიერი მიწით </t>
  </si>
  <si>
    <t xml:space="preserve">ღრუტანიანი ფილის გამწვანება </t>
  </si>
  <si>
    <t xml:space="preserve">ბაზალტის ქვაფენილის ფილის  მოწყობა </t>
  </si>
  <si>
    <t>ქვაფენილის ქვეშ  საფუძვლის მოსამზადებელი ფენის მოწყობა ქვიშით, სისქით 10სმ.</t>
  </si>
  <si>
    <t xml:space="preserve">ბაზალტის  ქვაფენილის ბილიკების მოწყობა </t>
  </si>
  <si>
    <t xml:space="preserve">ბაზალტის ქვაფენილის ფილა </t>
  </si>
  <si>
    <t xml:space="preserve">ბორდიურების  მოწყობა </t>
  </si>
  <si>
    <t>ბორდიური ბეტონის</t>
  </si>
  <si>
    <t>ბორდიური ბაზალტის</t>
  </si>
  <si>
    <t>გრ/მ</t>
  </si>
  <si>
    <t xml:space="preserve">თავსაფარი </t>
  </si>
  <si>
    <t>მმ.</t>
  </si>
  <si>
    <t>საძირკვლის ფილა</t>
  </si>
  <si>
    <t xml:space="preserve">კედლები </t>
  </si>
  <si>
    <t xml:space="preserve">სულ მ3 ბეტონი </t>
  </si>
  <si>
    <t>კუბ.მ</t>
  </si>
  <si>
    <t>ბეტონის ტუმბო</t>
  </si>
  <si>
    <t>საყალიბე მასალა</t>
  </si>
  <si>
    <t xml:space="preserve">არმატურის კარკასის დამზადების მასალები </t>
  </si>
  <si>
    <t>ტ</t>
  </si>
  <si>
    <t>არმატურა А240С</t>
  </si>
  <si>
    <t xml:space="preserve">არმატურა А500С </t>
  </si>
  <si>
    <t>მობილური ამწე</t>
  </si>
  <si>
    <t xml:space="preserve">დღე </t>
  </si>
  <si>
    <t>ლარი</t>
  </si>
  <si>
    <t>ბეტონი В25</t>
  </si>
  <si>
    <t>თბოქსელის არხი სიგანით 1500მმ - 55,36 გრ/მ</t>
  </si>
  <si>
    <t>არხის მონოლითური რკ.ბეტონის საძირკვლის ფილის მოწყობა ბეტონით, კლასით B25</t>
  </si>
  <si>
    <t>არხის მონოლითური რკ.ბეტონის  კედლების  მოწყობა  ბეტონით, კლასით B 25</t>
  </si>
  <si>
    <t>არხის მონოლითური რკ.ბეტონის  გადახურვის ფილის მოწყობა  ბეტონით, კლასით B25</t>
  </si>
  <si>
    <t xml:space="preserve">სხვა მასალები </t>
  </si>
  <si>
    <t>არმატურა А240С - დ-8მმ.</t>
  </si>
  <si>
    <t>არმატურა А500С -დ-10მმ.</t>
  </si>
  <si>
    <t xml:space="preserve">ძირი </t>
  </si>
  <si>
    <t>კედელი</t>
  </si>
  <si>
    <t>თბოქსელის არხი სიგანით 1000მმ - 87,049 გრ/მ</t>
  </si>
  <si>
    <t>თბოქსელის არხი სიგანით 600მმ -22,944გრ/მ</t>
  </si>
  <si>
    <t>გრუნტის სამუშაოები</t>
  </si>
  <si>
    <t>გრუნტის დამუშავება ხელით</t>
  </si>
  <si>
    <t>ამოღებული გრუნტის დატვირთვა ავტოთვითმცლელზე მექანიზმით</t>
  </si>
  <si>
    <t>ამოღებული  გრუნტის გატანა ტერიტორიიდან</t>
  </si>
  <si>
    <t>შრომის დანახარჯი</t>
  </si>
  <si>
    <t xml:space="preserve">თბოქსელის რკ.ბეტონის არხის  მოწყობა </t>
  </si>
  <si>
    <t xml:space="preserve">მე-3 კატეგორიის გრუნტის დამუშავება ქვაბულში მექანიზმებით </t>
  </si>
  <si>
    <t>ბეტონი B-15</t>
  </si>
  <si>
    <t>საფუძვლის მოსამზადებელი ქვედა ფენის მოწყობა ქვიშა-ხრეშოვანი ნარევით, სისქით 30სმ.</t>
  </si>
  <si>
    <t>დამტვირთველი</t>
  </si>
  <si>
    <t>სატკეპნი</t>
  </si>
  <si>
    <t xml:space="preserve">ბეტონის მოსამზადებელი ფენის მოწყობა </t>
  </si>
  <si>
    <t>არსებული ფილების დემონტაჟი კოდალით</t>
  </si>
  <si>
    <t>კრებსითი სახარჯთაღრიცხვო გაანგარიშება</t>
  </si>
  <si>
    <t>ქ. გორი, ცხინვალის გზატკეცილის მე-2 კილომეტრი (ს/ნ: 66.46.07.495) - ავერსის კლინიკის შენობა</t>
  </si>
  <si>
    <t xml:space="preserve">დასახელება </t>
  </si>
  <si>
    <t>ჯამური ღირებულება, GEL</t>
  </si>
  <si>
    <t>ჯამი:</t>
  </si>
  <si>
    <t>N</t>
  </si>
  <si>
    <t xml:space="preserve">მოსამზადებელი სამუშაოები </t>
  </si>
  <si>
    <t>მეტრი</t>
  </si>
  <si>
    <t>წყალმიმღები ცხაური ძაბრით 300*300 D100</t>
  </si>
  <si>
    <t>კომპ.</t>
  </si>
  <si>
    <t xml:space="preserve">ტუმბოების სადგურის მოწყობა რკინაბეტონით </t>
  </si>
  <si>
    <t>ბორდიური</t>
  </si>
  <si>
    <t>ტუმბოების სადგურის მონოლითური რკ.ბეტონის საძირკვლის ფილის მოწყობა ბეტონით, კლასით B25</t>
  </si>
  <si>
    <t>ტუმბოების სადგურის  მონოლითური რკ.ბეტონის  კედლების  მოწყობა  ბეტონით, კლასით B 25</t>
  </si>
  <si>
    <t>გარე ტერიტორიის კეთილმოწყობის სამუშაოები</t>
  </si>
  <si>
    <t xml:space="preserve">გარე ტერიტორიის კეთილმოწყობის  და გარე საინჟინრო სამუშაოების მოწყობის </t>
  </si>
  <si>
    <t xml:space="preserve">თბოქსელების არხების მოწყობა რკინაბეტონით </t>
  </si>
  <si>
    <t xml:space="preserve"> 16 ფოლაფის მილტუჩი დ=100 მმ ცალი 2</t>
  </si>
  <si>
    <t xml:space="preserve"> 17 ფოლადის მუხლი დ=100 მმ 900 ცალი 2</t>
  </si>
  <si>
    <t xml:space="preserve"> 18 ფოლადის მილი  დ=102X4 მმ მ 10</t>
  </si>
  <si>
    <t xml:space="preserve"> 20 ელექტრო მართვის ფარი მიმწოდებელი სადენით კომპ 1</t>
  </si>
  <si>
    <t xml:space="preserve">სადრენაჟე ტუმბოების მოწყობა და მონტაჟი ქვესადგურში </t>
  </si>
  <si>
    <t>კგ</t>
  </si>
  <si>
    <t xml:space="preserve">ცალი </t>
  </si>
  <si>
    <t>კომპლ</t>
  </si>
  <si>
    <t>წვრილმანი მასალები  ღირებულების 20%</t>
  </si>
  <si>
    <t xml:space="preserve">ღორღის ფენის მოწყობა </t>
  </si>
  <si>
    <t xml:space="preserve">ბალასტის ფენის მოწყობა </t>
  </si>
  <si>
    <t xml:space="preserve">ქვიშის ფენის მოწყობა </t>
  </si>
  <si>
    <t xml:space="preserve">სარწყავი სისტემის მოწყობა </t>
  </si>
  <si>
    <t xml:space="preserve">გარე სანიაღცვრე ქსელის მოწყობა  </t>
  </si>
  <si>
    <t>სანიაღვრე  სისტემების მოწყობის საორიენტაციო სახარჯთაღრიცხვო გაანგარიშება</t>
  </si>
  <si>
    <t xml:space="preserve">დანართი №3 </t>
  </si>
  <si>
    <t>ტერიტორიის კეთილმოწყობის სამუშაოების  საორიენტაციო სახარჯთაღრიცხვო გაანგარიშება</t>
  </si>
  <si>
    <t>დანართი №1</t>
  </si>
  <si>
    <t>დანართი №2</t>
  </si>
  <si>
    <t>თბოქსელის მოწყობის სამუშაოების  საორიენტაციო სახარჯთაღრიცხვო გაანგარიშება</t>
  </si>
  <si>
    <t>ბეტონის მჭიმის მოწყობა, სისქით 50მმ., ბეტონით ბ-20</t>
  </si>
  <si>
    <t>ბეტონი B20</t>
  </si>
  <si>
    <t xml:space="preserve"> 19 ანტიკოროზიუსი საღებავი</t>
  </si>
  <si>
    <t>შეთავაზება სარწყავი სისტემის საინსტალაციო სამუშაოებზე</t>
  </si>
  <si>
    <t>* ფასები მოცემული არის ეროვნულ ვალუტაში</t>
  </si>
  <si>
    <t>ბრენდი</t>
  </si>
  <si>
    <t>განზ</t>
  </si>
  <si>
    <t>რაოდ</t>
  </si>
  <si>
    <t>მონტაჟი</t>
  </si>
  <si>
    <t>ჯამი</t>
  </si>
  <si>
    <t>სატუმბი სადგური, 2 ტუმბოთი, 1 მუშა, 1 სათადარიგო, 5,1 მ3/სთ, 6 ბარი, კოლექტორებით, უკუსარქველებით და ონკანებით</t>
  </si>
  <si>
    <t>DAB</t>
  </si>
  <si>
    <t>კომპლ.</t>
  </si>
  <si>
    <t>სახანძრო ავზზე დართება მილტუჩით PPR diam. 50, 4 მ</t>
  </si>
  <si>
    <t>პოლიეთილენის ონკანი დიამ. 1 1/2"</t>
  </si>
  <si>
    <t>GPA</t>
  </si>
  <si>
    <t>ც</t>
  </si>
  <si>
    <t>პოლიეთილენის ონკანი დიამ. 1 1/4"</t>
  </si>
  <si>
    <t>პოლიეთილენის ონკანი დიამ.1"</t>
  </si>
  <si>
    <t>პოლიეთილენის ონკანი დიამ.1/2"</t>
  </si>
  <si>
    <t>პოლიეთილენის ონკანი დიამ.40</t>
  </si>
  <si>
    <t>პოლიეთილენის მილი</t>
  </si>
  <si>
    <t>დიამ. 1 1/2"</t>
  </si>
  <si>
    <t>simkar plastic</t>
  </si>
  <si>
    <t>დიამ. 1 1/4"</t>
  </si>
  <si>
    <t>დიამ. 1"</t>
  </si>
  <si>
    <t>დიამ. 3/4"</t>
  </si>
  <si>
    <t>დიამ. 1/2"</t>
  </si>
  <si>
    <t>ფოლადის მილი გზების ქვეშ გადასავალებისთვის, DN100</t>
  </si>
  <si>
    <t>მიწისქვეშ კოლოფი სარქველებისთვის, Poelsan jumbo</t>
  </si>
  <si>
    <t>მიწისქვეშ კოლოფი შლანგის დაერთებისთვის, Poelsan round</t>
  </si>
  <si>
    <t>მართვის სისტემა</t>
  </si>
  <si>
    <t>მართვის პანელი Hunter X-Core, 6 სადგურისთვის</t>
  </si>
  <si>
    <t>Rain bird</t>
  </si>
  <si>
    <t>სარწყავის როტორი Hunter SRM00</t>
  </si>
  <si>
    <t>სოლენოიდი სარქვლი 24 ვ, Hunter PGV 101</t>
  </si>
  <si>
    <t>ფიტინგები და სამაგრები, 40% მილების ფასზე</t>
  </si>
  <si>
    <t>%</t>
  </si>
  <si>
    <t>ჯამური ღირებულება დღგ-ს გარეშე</t>
  </si>
  <si>
    <t>ზედნადები</t>
  </si>
  <si>
    <t>მოგება</t>
  </si>
  <si>
    <t>დღგ</t>
  </si>
  <si>
    <t>ჯამური ღირებულება დღგ-ს ჩათვლით</t>
  </si>
  <si>
    <t>სანიაღვრე სისტემების მოწყობა</t>
  </si>
  <si>
    <t xml:space="preserve">პლასმასის გოდფრირებული მილი </t>
  </si>
  <si>
    <t>სანიაღვრეს ჭა ანაკრები რკ.ბეტონის ელემენტებისგან თუჯის ხუფით,, დამუშავებული ჰიდრო იზოლაციით. D=1000</t>
  </si>
  <si>
    <t>დამხმარე მასალები</t>
  </si>
  <si>
    <t>მე-3 კატეგორიის გრუნტის დამუშავება ქვაბულში</t>
  </si>
  <si>
    <t xml:space="preserve">ამოღებული გრუნტის დატვირთვა ავტოთვითმცლელზე </t>
  </si>
  <si>
    <t>სანიაღვრისათვის განკუთვნილი ტუმბო აგრეგატი წარმადობით 90 მ3/სთ-ში აწევით 5 მეტრი კომპ 2</t>
  </si>
  <si>
    <t>სატრანსპორტო ხარჯები (მასალების ღირებულებიდან გარდა ბეტონის, ინერტულების და ასფალტბეტონისა)</t>
  </si>
  <si>
    <t>სატრანსპორტო ხარჯები (მასალების ღირებულებიდან გარდა ბეტონის და ინერტულებისა)</t>
  </si>
  <si>
    <t>ოლდ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</si>
</sst>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&quot;₾&quot;_-;\-* #,##0.00\ &quot;₾&quot;_-;_-* &quot;-&quot;??\ &quot;₾&quot;_-;_-@_-"/>
    <numFmt numFmtId="165" formatCode="_-* #,##0.00\ _₾_-;\-* #,##0.00\ _₾_-;_-* &quot;-&quot;??\ _₾_-;_-@_-"/>
    <numFmt numFmtId="166" formatCode="0.0"/>
    <numFmt numFmtId="167" formatCode="0.0%"/>
    <numFmt numFmtId="168" formatCode="0.0000"/>
    <numFmt numFmtId="169" formatCode="_-* #,##0\ _₾_-;\-* #,##0\ _₾_-;_-* &quot;-&quot;??\ _₾_-;_-@_-"/>
    <numFmt numFmtId="170" formatCode="_-* #,##0\ [$₾-437]_-;\-* #,##0\ [$₾-437]_-;_-* &quot;-&quot;??\ [$₾-437]_-;_-@_-"/>
    <numFmt numFmtId="171" formatCode="_-* #,##0.00\ [$₾-437]_-;\-* #,##0.00\ [$₾-437]_-;_-* &quot;-&quot;??\ [$₾-437]_-;_-@_-"/>
    <numFmt numFmtId="172" formatCode="#,##0.00\ [$₾-437]"/>
    <numFmt numFmtId="173" formatCode="_(* #,##0_);_(* \(#,##0\);_(* &quot;-&quot;??_);_(@_)"/>
    <numFmt numFmtId="174" formatCode="_([$GEL]\ * #,##0_);_([$GEL]\ * \(#,##0\);_([$GEL]\ * &quot;-&quot;??_);_(@_)"/>
  </numFmts>
  <fonts count="8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  <charset val="204"/>
    </font>
    <font>
      <b/>
      <sz val="12"/>
      <name val="AcadNusx"/>
    </font>
    <font>
      <sz val="11"/>
      <name val="Helv"/>
      <charset val="1"/>
    </font>
    <font>
      <b/>
      <sz val="10"/>
      <name val="AcadNusx"/>
    </font>
    <font>
      <sz val="12"/>
      <name val="AcadNusx"/>
    </font>
    <font>
      <sz val="10"/>
      <name val="AcadNusx"/>
    </font>
    <font>
      <b/>
      <sz val="11"/>
      <name val="AcadNusx"/>
    </font>
    <font>
      <b/>
      <sz val="11"/>
      <name val="Arial"/>
      <family val="2"/>
      <charset val="1"/>
    </font>
    <font>
      <sz val="11"/>
      <name val="AcadNusx"/>
    </font>
    <font>
      <sz val="10"/>
      <name val="Arial"/>
      <family val="2"/>
    </font>
    <font>
      <sz val="11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  <font>
      <sz val="10"/>
      <name val="Helv"/>
      <charset val="1"/>
    </font>
    <font>
      <b/>
      <sz val="10"/>
      <name val="Calibri Light"/>
      <family val="1"/>
      <charset val="204"/>
      <scheme val="major"/>
    </font>
    <font>
      <sz val="10"/>
      <name val="Calibri Light"/>
      <family val="1"/>
      <charset val="204"/>
      <scheme val="major"/>
    </font>
    <font>
      <sz val="10"/>
      <name val="Arial Cyr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1"/>
      <charset val="204"/>
      <scheme val="minor"/>
    </font>
    <font>
      <sz val="11"/>
      <name val="Calibri"/>
      <family val="1"/>
      <charset val="204"/>
      <scheme val="minor"/>
    </font>
    <font>
      <b/>
      <sz val="12"/>
      <name val="Calibri"/>
      <family val="2"/>
      <charset val="204"/>
    </font>
    <font>
      <sz val="12"/>
      <name val="Calibri"/>
      <family val="1"/>
      <charset val="204"/>
      <scheme val="minor"/>
    </font>
    <font>
      <b/>
      <sz val="11"/>
      <name val="Calibri"/>
      <family val="1"/>
      <charset val="204"/>
      <scheme val="minor"/>
    </font>
    <font>
      <u/>
      <sz val="11"/>
      <color theme="10"/>
      <name val="Calibri"/>
      <family val="2"/>
      <charset val="1"/>
      <scheme val="minor"/>
    </font>
    <font>
      <b/>
      <sz val="11"/>
      <name val="Calibri Light"/>
      <family val="2"/>
      <charset val="204"/>
    </font>
    <font>
      <b/>
      <sz val="11"/>
      <name val="Calibri Light"/>
      <family val="2"/>
      <charset val="1"/>
    </font>
    <font>
      <b/>
      <sz val="10"/>
      <color rgb="FFFF0000"/>
      <name val="Calibri Light"/>
      <family val="1"/>
      <charset val="1"/>
      <scheme val="major"/>
    </font>
    <font>
      <b/>
      <sz val="11"/>
      <color theme="4"/>
      <name val="Calibri Light"/>
      <family val="1"/>
      <charset val="1"/>
      <scheme val="major"/>
    </font>
    <font>
      <sz val="11"/>
      <name val="Calibri Light"/>
      <family val="2"/>
      <charset val="204"/>
    </font>
    <font>
      <sz val="11"/>
      <color theme="4"/>
      <name val="Calibri Light"/>
      <family val="1"/>
      <charset val="204"/>
      <scheme val="major"/>
    </font>
    <font>
      <b/>
      <sz val="10"/>
      <color rgb="FFFF0000"/>
      <name val="Arial Cyr"/>
      <charset val="1"/>
    </font>
    <font>
      <sz val="11"/>
      <color rgb="FFFF0000"/>
      <name val="Calibri"/>
      <family val="2"/>
      <scheme val="minor"/>
    </font>
    <font>
      <sz val="11"/>
      <color theme="3"/>
      <name val="Calibri"/>
      <family val="2"/>
      <scheme val="minor"/>
    </font>
    <font>
      <sz val="10"/>
      <name val="Calibri Light"/>
      <family val="2"/>
      <charset val="1"/>
    </font>
    <font>
      <sz val="12"/>
      <name val="Calibri"/>
      <family val="2"/>
      <charset val="204"/>
    </font>
    <font>
      <sz val="12"/>
      <name val="Calibri"/>
      <family val="2"/>
      <charset val="1"/>
    </font>
    <font>
      <b/>
      <sz val="11"/>
      <name val="Calibri Light"/>
      <family val="2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Sylfaen"/>
      <family val="1"/>
    </font>
    <font>
      <sz val="10"/>
      <name val="Cambria"/>
      <family val="1"/>
      <charset val="204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Sylfaen"/>
      <family val="1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1"/>
      <name val="Calibri Light"/>
      <family val="1"/>
      <charset val="204"/>
      <scheme val="major"/>
    </font>
    <font>
      <sz val="11"/>
      <name val="Calibri Light"/>
      <family val="1"/>
      <charset val="204"/>
      <scheme val="major"/>
    </font>
    <font>
      <b/>
      <sz val="11"/>
      <color theme="4"/>
      <name val="Calibri Light"/>
      <family val="1"/>
      <charset val="204"/>
      <scheme val="major"/>
    </font>
    <font>
      <sz val="12"/>
      <color theme="1"/>
      <name val="Calibri"/>
      <family val="2"/>
      <scheme val="minor"/>
    </font>
    <font>
      <b/>
      <sz val="11"/>
      <color theme="1"/>
      <name val="Sylfaen"/>
      <family val="1"/>
      <charset val="204"/>
    </font>
    <font>
      <sz val="11"/>
      <color theme="1"/>
      <name val="Calibri"/>
      <family val="1"/>
      <charset val="204"/>
      <scheme val="minor"/>
    </font>
    <font>
      <b/>
      <sz val="12"/>
      <name val="Sylfaen"/>
      <family val="1"/>
    </font>
    <font>
      <b/>
      <sz val="11"/>
      <color theme="1"/>
      <name val="Calibri Light"/>
      <family val="1"/>
      <charset val="204"/>
      <scheme val="major"/>
    </font>
    <font>
      <sz val="11"/>
      <color theme="1"/>
      <name val="Calibri Light"/>
      <family val="1"/>
      <charset val="204"/>
      <scheme val="major"/>
    </font>
    <font>
      <b/>
      <sz val="11"/>
      <color theme="1"/>
      <name val="Sylfaen"/>
      <family val="1"/>
      <charset val="1"/>
    </font>
    <font>
      <b/>
      <sz val="11"/>
      <name val="Sylfaen"/>
      <family val="1"/>
      <charset val="1"/>
    </font>
    <font>
      <b/>
      <sz val="11"/>
      <color theme="1"/>
      <name val="Sylfaen"/>
      <family val="1"/>
    </font>
    <font>
      <sz val="11"/>
      <name val="Sylfaen"/>
      <family val="1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Bahnschrift"/>
      <family val="2"/>
    </font>
    <font>
      <b/>
      <sz val="16"/>
      <color rgb="FF000000"/>
      <name val="Bahnschrift"/>
      <family val="2"/>
    </font>
    <font>
      <b/>
      <sz val="10"/>
      <color rgb="FF000000"/>
      <name val="Bahnschrift"/>
      <family val="2"/>
    </font>
    <font>
      <b/>
      <sz val="10"/>
      <color rgb="FFA20000"/>
      <name val="Bahnschrift"/>
      <family val="2"/>
    </font>
    <font>
      <b/>
      <sz val="9"/>
      <color rgb="FFA20000"/>
      <name val="Bahnschrift"/>
      <family val="2"/>
    </font>
    <font>
      <b/>
      <sz val="10"/>
      <name val="Bahnschrift"/>
      <family val="2"/>
    </font>
    <font>
      <sz val="11"/>
      <color theme="1"/>
      <name val="Calibri"/>
      <family val="2"/>
      <charset val="162"/>
      <scheme val="minor"/>
    </font>
    <font>
      <sz val="10"/>
      <name val="Bahnschrift"/>
      <family val="2"/>
    </font>
    <font>
      <sz val="10"/>
      <color rgb="FF000000"/>
      <name val="Times New Roman"/>
      <family val="1"/>
    </font>
    <font>
      <b/>
      <sz val="11"/>
      <color rgb="FF000000"/>
      <name val="Bahnschrift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3" fillId="0" borderId="0"/>
    <xf numFmtId="0" fontId="12" fillId="0" borderId="0"/>
    <xf numFmtId="43" fontId="12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/>
    <xf numFmtId="43" fontId="12" fillId="0" borderId="0" applyFont="0" applyFill="0" applyBorder="0" applyAlignment="0" applyProtection="0"/>
    <xf numFmtId="165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7" fillId="0" borderId="0"/>
    <xf numFmtId="0" fontId="31" fillId="0" borderId="0"/>
    <xf numFmtId="0" fontId="24" fillId="0" borderId="0"/>
    <xf numFmtId="165" fontId="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44" fillId="0" borderId="0">
      <alignment horizontal="left" vertical="center" wrapText="1" indent="1"/>
    </xf>
    <xf numFmtId="0" fontId="27" fillId="0" borderId="0"/>
    <xf numFmtId="43" fontId="27" fillId="0" borderId="0" applyFont="0" applyFill="0" applyBorder="0" applyAlignment="0" applyProtection="0"/>
    <xf numFmtId="0" fontId="12" fillId="0" borderId="0"/>
    <xf numFmtId="43" fontId="44" fillId="0" borderId="0" applyFont="0" applyFill="0" applyBorder="0" applyAlignment="0" applyProtection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58" fillId="0" borderId="0"/>
    <xf numFmtId="0" fontId="27" fillId="0" borderId="0"/>
    <xf numFmtId="0" fontId="77" fillId="0" borderId="0"/>
    <xf numFmtId="0" fontId="84" fillId="0" borderId="0"/>
    <xf numFmtId="43" fontId="86" fillId="0" borderId="0" applyFont="0" applyFill="0" applyBorder="0" applyAlignment="0" applyProtection="0"/>
  </cellStyleXfs>
  <cellXfs count="581">
    <xf numFmtId="0" fontId="0" fillId="0" borderId="0" xfId="0"/>
    <xf numFmtId="0" fontId="5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9" fillId="2" borderId="0" xfId="2" applyFont="1" applyFill="1" applyAlignment="1">
      <alignment horizontal="center" vertical="center" wrapText="1"/>
    </xf>
    <xf numFmtId="0" fontId="11" fillId="2" borderId="0" xfId="1" applyFont="1" applyFill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0" fontId="13" fillId="2" borderId="0" xfId="1" applyFont="1" applyFill="1" applyBorder="1" applyAlignment="1">
      <alignment vertical="center" wrapText="1"/>
    </xf>
    <xf numFmtId="0" fontId="14" fillId="2" borderId="0" xfId="1" applyFont="1" applyFill="1" applyBorder="1" applyAlignment="1">
      <alignment vertical="center" wrapText="1"/>
    </xf>
    <xf numFmtId="0" fontId="13" fillId="2" borderId="0" xfId="1" applyFont="1" applyFill="1" applyAlignment="1">
      <alignment vertical="center" wrapText="1"/>
    </xf>
    <xf numFmtId="0" fontId="13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vertical="center" wrapText="1"/>
    </xf>
    <xf numFmtId="0" fontId="8" fillId="2" borderId="0" xfId="1" applyFont="1" applyFill="1" applyAlignment="1">
      <alignment vertical="center" wrapText="1"/>
    </xf>
    <xf numFmtId="0" fontId="11" fillId="2" borderId="0" xfId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3" fillId="0" borderId="0" xfId="2" applyFont="1" applyFill="1" applyAlignment="1">
      <alignment vertical="center" wrapText="1"/>
    </xf>
    <xf numFmtId="0" fontId="10" fillId="0" borderId="0" xfId="2" applyFont="1" applyFill="1" applyAlignment="1">
      <alignment vertical="center" wrapText="1"/>
    </xf>
    <xf numFmtId="0" fontId="9" fillId="0" borderId="0" xfId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/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8" fillId="0" borderId="1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18" fillId="0" borderId="1" xfId="5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9" fillId="2" borderId="0" xfId="1" applyFont="1" applyFill="1" applyBorder="1" applyAlignment="1">
      <alignment horizontal="center" vertical="center" wrapText="1"/>
    </xf>
    <xf numFmtId="0" fontId="19" fillId="2" borderId="0" xfId="1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1" fillId="0" borderId="0" xfId="2" applyFont="1" applyFill="1" applyAlignment="1">
      <alignment horizontal="center" vertical="center" wrapText="1"/>
    </xf>
    <xf numFmtId="166" fontId="11" fillId="0" borderId="0" xfId="2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8" fillId="2" borderId="0" xfId="1" applyNumberFormat="1" applyFont="1" applyFill="1" applyBorder="1" applyAlignment="1">
      <alignment horizontal="center" vertical="center" wrapText="1"/>
    </xf>
    <xf numFmtId="2" fontId="14" fillId="2" borderId="0" xfId="0" applyNumberFormat="1" applyFont="1" applyFill="1" applyBorder="1" applyAlignment="1">
      <alignment horizontal="center" vertical="center" wrapText="1"/>
    </xf>
    <xf numFmtId="2" fontId="14" fillId="2" borderId="0" xfId="1" applyNumberFormat="1" applyFont="1" applyFill="1" applyBorder="1" applyAlignment="1">
      <alignment horizontal="center" vertical="center" wrapText="1"/>
    </xf>
    <xf numFmtId="2" fontId="14" fillId="2" borderId="0" xfId="1" applyNumberFormat="1" applyFont="1" applyFill="1" applyAlignment="1">
      <alignment horizontal="center" vertical="center" wrapText="1"/>
    </xf>
    <xf numFmtId="2" fontId="8" fillId="2" borderId="0" xfId="1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0" fontId="17" fillId="0" borderId="1" xfId="2" applyFont="1" applyFill="1" applyBorder="1" applyAlignment="1">
      <alignment horizontal="left" vertical="center" wrapText="1"/>
    </xf>
    <xf numFmtId="165" fontId="17" fillId="0" borderId="1" xfId="8" applyFont="1" applyFill="1" applyBorder="1" applyAlignment="1">
      <alignment horizontal="center" vertical="center" wrapText="1"/>
    </xf>
    <xf numFmtId="2" fontId="17" fillId="0" borderId="1" xfId="8" applyNumberFormat="1" applyFont="1" applyFill="1" applyBorder="1" applyAlignment="1">
      <alignment horizontal="center" vertical="center" wrapText="1"/>
    </xf>
    <xf numFmtId="2" fontId="18" fillId="0" borderId="1" xfId="8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vertical="center" wrapText="1"/>
    </xf>
    <xf numFmtId="165" fontId="18" fillId="0" borderId="1" xfId="8" applyFont="1" applyFill="1" applyBorder="1" applyAlignment="1">
      <alignment horizontal="center" vertical="center" wrapText="1"/>
    </xf>
    <xf numFmtId="165" fontId="17" fillId="0" borderId="1" xfId="8" applyFont="1" applyFill="1" applyBorder="1" applyAlignment="1">
      <alignment horizontal="center" vertical="center"/>
    </xf>
    <xf numFmtId="2" fontId="17" fillId="0" borderId="1" xfId="8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left" vertical="center" wrapText="1"/>
    </xf>
    <xf numFmtId="0" fontId="21" fillId="2" borderId="0" xfId="2" applyFont="1" applyFill="1" applyAlignment="1">
      <alignment horizontal="center" vertical="center"/>
    </xf>
    <xf numFmtId="0" fontId="18" fillId="0" borderId="1" xfId="2" applyFont="1" applyFill="1" applyBorder="1" applyAlignment="1">
      <alignment vertical="center" wrapText="1"/>
    </xf>
    <xf numFmtId="2" fontId="17" fillId="0" borderId="1" xfId="2" applyNumberFormat="1" applyFont="1" applyFill="1" applyBorder="1" applyAlignment="1">
      <alignment horizontal="center" vertical="center" wrapText="1"/>
    </xf>
    <xf numFmtId="2" fontId="18" fillId="4" borderId="1" xfId="8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vertical="center"/>
    </xf>
    <xf numFmtId="0" fontId="22" fillId="2" borderId="1" xfId="0" applyFont="1" applyFill="1" applyBorder="1" applyAlignment="1">
      <alignment vertical="center"/>
    </xf>
    <xf numFmtId="2" fontId="17" fillId="4" borderId="1" xfId="8" applyNumberFormat="1" applyFont="1" applyFill="1" applyBorder="1" applyAlignment="1">
      <alignment horizontal="center" vertical="center" wrapText="1"/>
    </xf>
    <xf numFmtId="2" fontId="17" fillId="4" borderId="1" xfId="8" applyNumberFormat="1" applyFont="1" applyFill="1" applyBorder="1" applyAlignment="1">
      <alignment horizontal="center" vertical="center"/>
    </xf>
    <xf numFmtId="49" fontId="18" fillId="3" borderId="1" xfId="2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165" fontId="13" fillId="0" borderId="0" xfId="2" applyNumberFormat="1" applyFont="1" applyFill="1" applyAlignment="1">
      <alignment vertical="center" wrapText="1"/>
    </xf>
    <xf numFmtId="0" fontId="18" fillId="5" borderId="1" xfId="2" applyFont="1" applyFill="1" applyBorder="1" applyAlignment="1">
      <alignment horizontal="center" vertical="center" wrapText="1"/>
    </xf>
    <xf numFmtId="49" fontId="18" fillId="5" borderId="1" xfId="2" applyNumberFormat="1" applyFont="1" applyFill="1" applyBorder="1" applyAlignment="1">
      <alignment horizontal="left" vertical="center" wrapText="1"/>
    </xf>
    <xf numFmtId="165" fontId="18" fillId="5" borderId="1" xfId="8" applyFont="1" applyFill="1" applyBorder="1" applyAlignment="1">
      <alignment horizontal="center" vertical="center" wrapText="1"/>
    </xf>
    <xf numFmtId="2" fontId="18" fillId="5" borderId="1" xfId="8" applyNumberFormat="1" applyFont="1" applyFill="1" applyBorder="1" applyAlignment="1">
      <alignment horizontal="center" vertical="center" wrapText="1"/>
    </xf>
    <xf numFmtId="0" fontId="18" fillId="5" borderId="1" xfId="2" applyFont="1" applyFill="1" applyBorder="1" applyAlignment="1">
      <alignment horizontal="left" vertical="center" wrapText="1"/>
    </xf>
    <xf numFmtId="168" fontId="17" fillId="0" borderId="1" xfId="8" applyNumberFormat="1" applyFont="1" applyFill="1" applyBorder="1" applyAlignment="1">
      <alignment horizontal="center" vertical="center" wrapText="1"/>
    </xf>
    <xf numFmtId="168" fontId="17" fillId="0" borderId="1" xfId="8" applyNumberFormat="1" applyFont="1" applyFill="1" applyBorder="1" applyAlignment="1">
      <alignment horizontal="center" vertical="center"/>
    </xf>
    <xf numFmtId="0" fontId="18" fillId="5" borderId="1" xfId="1" applyFont="1" applyFill="1" applyBorder="1" applyAlignment="1">
      <alignment horizontal="center" vertical="center" wrapText="1"/>
    </xf>
    <xf numFmtId="0" fontId="18" fillId="5" borderId="1" xfId="5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1" xfId="1" applyFont="1" applyFill="1" applyBorder="1" applyAlignment="1">
      <alignment horizontal="left" vertical="center" wrapText="1"/>
    </xf>
    <xf numFmtId="9" fontId="23" fillId="0" borderId="1" xfId="0" applyNumberFormat="1" applyFont="1" applyFill="1" applyBorder="1" applyAlignment="1">
      <alignment horizontal="center" vertical="center"/>
    </xf>
    <xf numFmtId="167" fontId="23" fillId="0" borderId="1" xfId="9" applyNumberFormat="1" applyFont="1" applyFill="1" applyBorder="1" applyAlignment="1">
      <alignment horizontal="center" vertical="center"/>
    </xf>
    <xf numFmtId="9" fontId="23" fillId="0" borderId="1" xfId="9" applyFont="1" applyFill="1" applyBorder="1" applyAlignment="1">
      <alignment horizontal="center" vertical="center"/>
    </xf>
    <xf numFmtId="165" fontId="7" fillId="2" borderId="0" xfId="8" applyFont="1" applyFill="1" applyBorder="1" applyAlignment="1">
      <alignment horizontal="center" vertical="center" wrapText="1"/>
    </xf>
    <xf numFmtId="165" fontId="11" fillId="2" borderId="0" xfId="8" applyFont="1" applyFill="1" applyBorder="1" applyAlignment="1">
      <alignment horizontal="center" vertical="center" wrapText="1"/>
    </xf>
    <xf numFmtId="165" fontId="13" fillId="2" borderId="0" xfId="8" applyFont="1" applyFill="1" applyBorder="1" applyAlignment="1">
      <alignment vertical="center" wrapText="1"/>
    </xf>
    <xf numFmtId="165" fontId="13" fillId="2" borderId="0" xfId="8" applyFont="1" applyFill="1" applyAlignment="1">
      <alignment horizontal="center" vertical="center" wrapText="1"/>
    </xf>
    <xf numFmtId="165" fontId="13" fillId="2" borderId="0" xfId="8" applyFont="1" applyFill="1" applyAlignment="1">
      <alignment vertical="center" wrapText="1"/>
    </xf>
    <xf numFmtId="165" fontId="11" fillId="2" borderId="0" xfId="8" applyFont="1" applyFill="1" applyAlignment="1">
      <alignment horizontal="center" vertical="center" wrapText="1"/>
    </xf>
    <xf numFmtId="165" fontId="11" fillId="2" borderId="0" xfId="8" applyFont="1" applyFill="1" applyAlignment="1">
      <alignment vertical="center" wrapText="1"/>
    </xf>
    <xf numFmtId="2" fontId="7" fillId="2" borderId="0" xfId="8" applyNumberFormat="1" applyFont="1" applyFill="1" applyBorder="1" applyAlignment="1">
      <alignment horizontal="center" vertical="center" wrapText="1"/>
    </xf>
    <xf numFmtId="2" fontId="11" fillId="2" borderId="0" xfId="8" applyNumberFormat="1" applyFont="1" applyFill="1" applyBorder="1" applyAlignment="1">
      <alignment horizontal="center" vertical="center" wrapText="1"/>
    </xf>
    <xf numFmtId="2" fontId="13" fillId="2" borderId="0" xfId="8" applyNumberFormat="1" applyFont="1" applyFill="1" applyBorder="1" applyAlignment="1">
      <alignment horizontal="center" vertical="center" wrapText="1"/>
    </xf>
    <xf numFmtId="2" fontId="9" fillId="0" borderId="0" xfId="8" applyNumberFormat="1" applyFont="1" applyAlignment="1">
      <alignment horizontal="center" vertical="center"/>
    </xf>
    <xf numFmtId="2" fontId="13" fillId="2" borderId="0" xfId="8" applyNumberFormat="1" applyFont="1" applyFill="1" applyAlignment="1">
      <alignment horizontal="center" vertical="center" wrapText="1"/>
    </xf>
    <xf numFmtId="2" fontId="11" fillId="2" borderId="0" xfId="8" applyNumberFormat="1" applyFont="1" applyFill="1" applyAlignment="1">
      <alignment horizontal="center" vertical="center" wrapText="1"/>
    </xf>
    <xf numFmtId="165" fontId="7" fillId="2" borderId="0" xfId="8" applyFont="1" applyFill="1" applyBorder="1" applyAlignment="1">
      <alignment vertical="center" wrapText="1"/>
    </xf>
    <xf numFmtId="165" fontId="11" fillId="2" borderId="0" xfId="8" applyFont="1" applyFill="1" applyBorder="1" applyAlignment="1">
      <alignment vertical="center" wrapText="1"/>
    </xf>
    <xf numFmtId="165" fontId="17" fillId="0" borderId="1" xfId="8" applyFont="1" applyFill="1" applyBorder="1" applyAlignment="1">
      <alignment vertical="center" wrapText="1"/>
    </xf>
    <xf numFmtId="165" fontId="18" fillId="0" borderId="1" xfId="8" applyFont="1" applyFill="1" applyBorder="1" applyAlignment="1">
      <alignment vertical="center" wrapText="1"/>
    </xf>
    <xf numFmtId="165" fontId="26" fillId="2" borderId="1" xfId="8" applyFont="1" applyFill="1" applyBorder="1" applyAlignment="1">
      <alignment horizontal="center" vertical="center" wrapText="1"/>
    </xf>
    <xf numFmtId="165" fontId="25" fillId="2" borderId="1" xfId="8" applyFont="1" applyFill="1" applyBorder="1" applyAlignment="1">
      <alignment horizontal="center" vertical="center" wrapText="1"/>
    </xf>
    <xf numFmtId="165" fontId="26" fillId="2" borderId="1" xfId="8" applyFont="1" applyFill="1" applyBorder="1" applyAlignment="1">
      <alignment vertical="center" wrapText="1"/>
    </xf>
    <xf numFmtId="0" fontId="27" fillId="0" borderId="0" xfId="10" applyAlignment="1">
      <alignment horizontal="center" vertical="center"/>
    </xf>
    <xf numFmtId="0" fontId="27" fillId="0" borderId="0" xfId="10"/>
    <xf numFmtId="0" fontId="28" fillId="0" borderId="5" xfId="10" applyFont="1" applyBorder="1" applyAlignment="1">
      <alignment horizontal="center" vertical="center"/>
    </xf>
    <xf numFmtId="0" fontId="28" fillId="0" borderId="6" xfId="10" applyFont="1" applyBorder="1" applyAlignment="1">
      <alignment horizontal="center" vertical="center"/>
    </xf>
    <xf numFmtId="0" fontId="28" fillId="0" borderId="7" xfId="10" applyFont="1" applyBorder="1" applyAlignment="1">
      <alignment horizontal="center" vertical="center"/>
    </xf>
    <xf numFmtId="0" fontId="28" fillId="0" borderId="8" xfId="10" applyFont="1" applyBorder="1" applyAlignment="1">
      <alignment horizontal="center" vertical="center"/>
    </xf>
    <xf numFmtId="0" fontId="27" fillId="0" borderId="10" xfId="10" applyBorder="1" applyAlignment="1">
      <alignment horizontal="center" vertical="center"/>
    </xf>
    <xf numFmtId="0" fontId="27" fillId="0" borderId="0" xfId="10" applyBorder="1" applyAlignment="1">
      <alignment horizontal="center" vertical="center"/>
    </xf>
    <xf numFmtId="0" fontId="28" fillId="0" borderId="11" xfId="10" applyFont="1" applyBorder="1" applyAlignment="1">
      <alignment horizontal="center" vertical="center"/>
    </xf>
    <xf numFmtId="0" fontId="27" fillId="0" borderId="13" xfId="10" applyBorder="1" applyAlignment="1">
      <alignment horizontal="center" vertical="center"/>
    </xf>
    <xf numFmtId="0" fontId="28" fillId="0" borderId="11" xfId="10" applyFont="1" applyFill="1" applyBorder="1" applyAlignment="1">
      <alignment horizontal="center" vertical="center"/>
    </xf>
    <xf numFmtId="0" fontId="28" fillId="0" borderId="14" xfId="10" applyFont="1" applyFill="1" applyBorder="1" applyAlignment="1">
      <alignment horizontal="center" vertical="center"/>
    </xf>
    <xf numFmtId="4" fontId="27" fillId="0" borderId="15" xfId="10" applyNumberFormat="1" applyBorder="1" applyAlignment="1">
      <alignment horizontal="center" vertical="center"/>
    </xf>
    <xf numFmtId="0" fontId="27" fillId="0" borderId="16" xfId="10" applyBorder="1" applyAlignment="1">
      <alignment horizontal="center" vertical="center"/>
    </xf>
    <xf numFmtId="4" fontId="27" fillId="0" borderId="6" xfId="10" applyNumberFormat="1" applyBorder="1" applyAlignment="1">
      <alignment horizontal="center" vertical="center"/>
    </xf>
    <xf numFmtId="0" fontId="27" fillId="0" borderId="7" xfId="10" applyBorder="1" applyAlignment="1">
      <alignment horizontal="center" vertical="center"/>
    </xf>
    <xf numFmtId="0" fontId="27" fillId="0" borderId="8" xfId="10" applyBorder="1" applyAlignment="1">
      <alignment horizontal="center" vertical="center"/>
    </xf>
    <xf numFmtId="0" fontId="27" fillId="0" borderId="9" xfId="10" applyFill="1" applyBorder="1" applyAlignment="1">
      <alignment horizontal="center" vertical="center"/>
    </xf>
    <xf numFmtId="0" fontId="27" fillId="0" borderId="14" xfId="10" applyBorder="1" applyAlignment="1">
      <alignment horizontal="center" vertical="center"/>
    </xf>
    <xf numFmtId="0" fontId="27" fillId="0" borderId="15" xfId="10" applyBorder="1" applyAlignment="1">
      <alignment horizontal="center" vertical="center"/>
    </xf>
    <xf numFmtId="0" fontId="28" fillId="0" borderId="2" xfId="10" applyFont="1" applyBorder="1" applyAlignment="1">
      <alignment horizontal="center" vertical="center"/>
    </xf>
    <xf numFmtId="0" fontId="28" fillId="0" borderId="4" xfId="10" applyFont="1" applyBorder="1" applyAlignment="1">
      <alignment horizontal="center" vertical="center"/>
    </xf>
    <xf numFmtId="0" fontId="28" fillId="0" borderId="18" xfId="10" applyFont="1" applyBorder="1" applyAlignment="1">
      <alignment horizontal="center" vertical="center"/>
    </xf>
    <xf numFmtId="0" fontId="28" fillId="0" borderId="3" xfId="10" applyFont="1" applyBorder="1" applyAlignment="1">
      <alignment horizontal="center" vertical="center"/>
    </xf>
    <xf numFmtId="0" fontId="29" fillId="0" borderId="19" xfId="10" applyFont="1" applyBorder="1" applyAlignment="1">
      <alignment horizontal="center" vertical="center"/>
    </xf>
    <xf numFmtId="0" fontId="27" fillId="0" borderId="20" xfId="10" applyBorder="1" applyAlignment="1">
      <alignment horizontal="center" vertical="center"/>
    </xf>
    <xf numFmtId="0" fontId="27" fillId="0" borderId="21" xfId="10" applyBorder="1" applyAlignment="1">
      <alignment horizontal="left" vertical="center"/>
    </xf>
    <xf numFmtId="0" fontId="27" fillId="0" borderId="22" xfId="10" applyBorder="1" applyAlignment="1">
      <alignment horizontal="center" vertical="center"/>
    </xf>
    <xf numFmtId="0" fontId="27" fillId="0" borderId="23" xfId="10" applyBorder="1" applyAlignment="1">
      <alignment horizontal="center" vertical="center"/>
    </xf>
    <xf numFmtId="0" fontId="27" fillId="0" borderId="21" xfId="10" applyBorder="1" applyAlignment="1">
      <alignment horizontal="center" vertical="center"/>
    </xf>
    <xf numFmtId="0" fontId="27" fillId="0" borderId="24" xfId="10" applyBorder="1" applyAlignment="1">
      <alignment horizontal="center" vertical="center"/>
    </xf>
    <xf numFmtId="0" fontId="27" fillId="0" borderId="25" xfId="10" applyBorder="1" applyAlignment="1">
      <alignment horizontal="left" vertical="center"/>
    </xf>
    <xf numFmtId="0" fontId="27" fillId="0" borderId="26" xfId="10" applyBorder="1" applyAlignment="1">
      <alignment horizontal="center" vertical="center"/>
    </xf>
    <xf numFmtId="0" fontId="27" fillId="0" borderId="1" xfId="10" applyBorder="1" applyAlignment="1">
      <alignment horizontal="center" vertical="center"/>
    </xf>
    <xf numFmtId="0" fontId="27" fillId="0" borderId="25" xfId="10" applyBorder="1" applyAlignment="1">
      <alignment horizontal="center" vertical="center"/>
    </xf>
    <xf numFmtId="0" fontId="27" fillId="0" borderId="1" xfId="10" applyFill="1" applyBorder="1" applyAlignment="1">
      <alignment horizontal="center" vertical="center"/>
    </xf>
    <xf numFmtId="0" fontId="27" fillId="0" borderId="25" xfId="10" applyFill="1" applyBorder="1" applyAlignment="1">
      <alignment horizontal="center" vertical="center"/>
    </xf>
    <xf numFmtId="0" fontId="27" fillId="0" borderId="27" xfId="10" applyBorder="1" applyAlignment="1">
      <alignment horizontal="center" vertical="center"/>
    </xf>
    <xf numFmtId="0" fontId="27" fillId="0" borderId="28" xfId="10" applyBorder="1" applyAlignment="1">
      <alignment horizontal="left" vertical="center"/>
    </xf>
    <xf numFmtId="0" fontId="27" fillId="0" borderId="29" xfId="10" applyBorder="1" applyAlignment="1">
      <alignment horizontal="center" vertical="center"/>
    </xf>
    <xf numFmtId="0" fontId="27" fillId="0" borderId="30" xfId="10" applyBorder="1" applyAlignment="1">
      <alignment horizontal="center" vertical="center"/>
    </xf>
    <xf numFmtId="0" fontId="27" fillId="0" borderId="28" xfId="10" applyBorder="1" applyAlignment="1">
      <alignment horizontal="center" vertical="center"/>
    </xf>
    <xf numFmtId="0" fontId="30" fillId="0" borderId="0" xfId="10" applyFont="1" applyAlignment="1">
      <alignment horizontal="center" vertical="center"/>
    </xf>
    <xf numFmtId="0" fontId="15" fillId="0" borderId="0" xfId="11" applyFont="1" applyAlignment="1">
      <alignment horizontal="center"/>
    </xf>
    <xf numFmtId="0" fontId="31" fillId="0" borderId="0" xfId="11" applyFont="1" applyAlignment="1"/>
    <xf numFmtId="0" fontId="16" fillId="0" borderId="0" xfId="11" applyFont="1" applyAlignment="1">
      <alignment horizontal="center" vertical="center"/>
    </xf>
    <xf numFmtId="0" fontId="16" fillId="0" borderId="31" xfId="11" applyFont="1" applyBorder="1" applyAlignment="1">
      <alignment horizontal="center" vertical="center"/>
    </xf>
    <xf numFmtId="0" fontId="34" fillId="0" borderId="0" xfId="11" applyFont="1" applyAlignment="1"/>
    <xf numFmtId="0" fontId="16" fillId="0" borderId="31" xfId="11" applyFont="1" applyBorder="1" applyAlignment="1">
      <alignment vertical="center"/>
    </xf>
    <xf numFmtId="4" fontId="27" fillId="0" borderId="0" xfId="10" applyNumberFormat="1" applyAlignment="1">
      <alignment horizontal="center" vertical="center"/>
    </xf>
    <xf numFmtId="4" fontId="27" fillId="6" borderId="12" xfId="10" applyNumberFormat="1" applyFill="1" applyBorder="1" applyAlignment="1">
      <alignment horizontal="center" vertical="center"/>
    </xf>
    <xf numFmtId="4" fontId="27" fillId="6" borderId="17" xfId="10" applyNumberFormat="1" applyFill="1" applyBorder="1" applyAlignment="1">
      <alignment horizontal="center" vertical="center"/>
    </xf>
    <xf numFmtId="0" fontId="27" fillId="6" borderId="32" xfId="10" applyFill="1" applyBorder="1" applyAlignment="1">
      <alignment horizontal="center" vertical="center"/>
    </xf>
    <xf numFmtId="0" fontId="16" fillId="6" borderId="31" xfId="11" applyFont="1" applyFill="1" applyBorder="1" applyAlignment="1">
      <alignment vertical="center"/>
    </xf>
    <xf numFmtId="4" fontId="27" fillId="6" borderId="33" xfId="10" applyNumberFormat="1" applyFill="1" applyBorder="1" applyAlignment="1">
      <alignment horizontal="center" vertical="center"/>
    </xf>
    <xf numFmtId="165" fontId="25" fillId="2" borderId="1" xfId="8" applyFont="1" applyFill="1" applyBorder="1" applyAlignment="1">
      <alignment horizontal="center" vertical="center" wrapText="1"/>
    </xf>
    <xf numFmtId="0" fontId="27" fillId="0" borderId="5" xfId="10" applyBorder="1" applyAlignment="1">
      <alignment horizontal="center" vertical="center"/>
    </xf>
    <xf numFmtId="0" fontId="27" fillId="0" borderId="7" xfId="10" applyBorder="1" applyAlignment="1">
      <alignment vertical="center"/>
    </xf>
    <xf numFmtId="0" fontId="27" fillId="0" borderId="5" xfId="10" applyBorder="1" applyAlignment="1">
      <alignment vertical="center"/>
    </xf>
    <xf numFmtId="2" fontId="27" fillId="0" borderId="34" xfId="10" applyNumberFormat="1" applyBorder="1" applyAlignment="1">
      <alignment horizontal="center" vertical="center"/>
    </xf>
    <xf numFmtId="2" fontId="27" fillId="0" borderId="34" xfId="10" applyNumberFormat="1" applyBorder="1" applyAlignment="1">
      <alignment vertical="center"/>
    </xf>
    <xf numFmtId="0" fontId="27" fillId="7" borderId="0" xfId="10" applyFill="1" applyBorder="1" applyAlignment="1">
      <alignment horizontal="center" vertical="center"/>
    </xf>
    <xf numFmtId="0" fontId="30" fillId="7" borderId="0" xfId="10" applyFont="1" applyFill="1" applyBorder="1" applyAlignment="1">
      <alignment horizontal="center" vertical="center"/>
    </xf>
    <xf numFmtId="2" fontId="27" fillId="7" borderId="0" xfId="10" applyNumberFormat="1" applyFill="1" applyBorder="1" applyAlignment="1">
      <alignment horizontal="center" vertical="center"/>
    </xf>
    <xf numFmtId="2" fontId="30" fillId="7" borderId="0" xfId="10" applyNumberFormat="1" applyFont="1" applyFill="1" applyBorder="1" applyAlignment="1">
      <alignment horizontal="center" vertical="center"/>
    </xf>
    <xf numFmtId="0" fontId="27" fillId="7" borderId="0" xfId="10" applyFill="1"/>
    <xf numFmtId="2" fontId="27" fillId="7" borderId="0" xfId="10" applyNumberFormat="1" applyFill="1"/>
    <xf numFmtId="0" fontId="27" fillId="7" borderId="0" xfId="10" applyFill="1" applyBorder="1" applyAlignment="1">
      <alignment vertical="center"/>
    </xf>
    <xf numFmtId="2" fontId="27" fillId="7" borderId="0" xfId="10" applyNumberFormat="1" applyFill="1" applyBorder="1" applyAlignment="1">
      <alignment vertical="center"/>
    </xf>
    <xf numFmtId="0" fontId="30" fillId="0" borderId="35" xfId="10" applyFont="1" applyBorder="1" applyAlignment="1">
      <alignment horizontal="center" vertical="center"/>
    </xf>
    <xf numFmtId="0" fontId="30" fillId="0" borderId="36" xfId="10" applyFont="1" applyBorder="1" applyAlignment="1">
      <alignment horizontal="center" vertical="center"/>
    </xf>
    <xf numFmtId="0" fontId="30" fillId="0" borderId="36" xfId="10" applyFont="1" applyFill="1" applyBorder="1" applyAlignment="1">
      <alignment horizontal="center" vertical="center"/>
    </xf>
    <xf numFmtId="0" fontId="30" fillId="0" borderId="37" xfId="10" applyFont="1" applyFill="1" applyBorder="1" applyAlignment="1">
      <alignment horizontal="center" vertical="center"/>
    </xf>
    <xf numFmtId="0" fontId="30" fillId="0" borderId="38" xfId="10" applyFont="1" applyBorder="1" applyAlignment="1">
      <alignment horizontal="center" vertical="center"/>
    </xf>
    <xf numFmtId="0" fontId="30" fillId="0" borderId="39" xfId="10" applyFont="1" applyBorder="1" applyAlignment="1">
      <alignment horizontal="center" vertical="center"/>
    </xf>
    <xf numFmtId="0" fontId="30" fillId="0" borderId="39" xfId="10" applyFont="1" applyFill="1" applyBorder="1" applyAlignment="1">
      <alignment horizontal="center" vertical="center"/>
    </xf>
    <xf numFmtId="0" fontId="30" fillId="0" borderId="40" xfId="10" applyFont="1" applyFill="1" applyBorder="1" applyAlignment="1">
      <alignment horizontal="center" vertical="center"/>
    </xf>
    <xf numFmtId="0" fontId="27" fillId="7" borderId="41" xfId="10" applyFill="1" applyBorder="1" applyAlignment="1">
      <alignment horizontal="center" vertical="center"/>
    </xf>
    <xf numFmtId="0" fontId="27" fillId="7" borderId="42" xfId="10" applyFill="1" applyBorder="1" applyAlignment="1">
      <alignment horizontal="center" vertical="center"/>
    </xf>
    <xf numFmtId="2" fontId="27" fillId="7" borderId="42" xfId="10" applyNumberFormat="1" applyFill="1" applyBorder="1" applyAlignment="1">
      <alignment horizontal="center" vertical="center"/>
    </xf>
    <xf numFmtId="2" fontId="27" fillId="7" borderId="43" xfId="10" applyNumberFormat="1" applyFill="1" applyBorder="1" applyAlignment="1">
      <alignment horizontal="center" vertical="center"/>
    </xf>
    <xf numFmtId="2" fontId="30" fillId="6" borderId="44" xfId="10" applyNumberFormat="1" applyFont="1" applyFill="1" applyBorder="1" applyAlignment="1">
      <alignment horizontal="center" vertical="center"/>
    </xf>
    <xf numFmtId="2" fontId="30" fillId="6" borderId="45" xfId="10" applyNumberFormat="1" applyFont="1" applyFill="1" applyBorder="1" applyAlignment="1">
      <alignment horizontal="center" vertical="center"/>
    </xf>
    <xf numFmtId="0" fontId="27" fillId="0" borderId="2" xfId="10" applyBorder="1" applyAlignment="1">
      <alignment horizontal="center" vertical="center"/>
    </xf>
    <xf numFmtId="0" fontId="27" fillId="0" borderId="3" xfId="10" applyBorder="1" applyAlignment="1">
      <alignment horizontal="center" vertical="center"/>
    </xf>
    <xf numFmtId="2" fontId="27" fillId="0" borderId="3" xfId="10" applyNumberFormat="1" applyBorder="1" applyAlignment="1">
      <alignment horizontal="center" vertical="center"/>
    </xf>
    <xf numFmtId="2" fontId="27" fillId="0" borderId="4" xfId="10" applyNumberFormat="1" applyBorder="1" applyAlignment="1">
      <alignment horizontal="center" vertical="center"/>
    </xf>
    <xf numFmtId="0" fontId="23" fillId="2" borderId="0" xfId="12" applyFont="1" applyFill="1"/>
    <xf numFmtId="165" fontId="23" fillId="2" borderId="0" xfId="13" applyFont="1" applyFill="1" applyAlignment="1">
      <alignment horizontal="center" vertical="center"/>
    </xf>
    <xf numFmtId="0" fontId="26" fillId="2" borderId="0" xfId="12" applyFont="1" applyFill="1"/>
    <xf numFmtId="0" fontId="37" fillId="0" borderId="1" xfId="12" applyNumberFormat="1" applyFont="1" applyBorder="1" applyAlignment="1">
      <alignment horizontal="center" vertical="center"/>
    </xf>
    <xf numFmtId="165" fontId="37" fillId="0" borderId="1" xfId="13" applyFont="1" applyBorder="1" applyAlignment="1">
      <alignment horizontal="center" vertical="center"/>
    </xf>
    <xf numFmtId="0" fontId="38" fillId="2" borderId="0" xfId="12" applyFont="1" applyFill="1" applyAlignment="1">
      <alignment vertical="center"/>
    </xf>
    <xf numFmtId="165" fontId="37" fillId="0" borderId="1" xfId="12" applyNumberFormat="1" applyFont="1" applyBorder="1" applyAlignment="1">
      <alignment vertical="center" wrapText="1"/>
    </xf>
    <xf numFmtId="0" fontId="39" fillId="0" borderId="0" xfId="12" applyFont="1"/>
    <xf numFmtId="0" fontId="40" fillId="0" borderId="1" xfId="12" applyNumberFormat="1" applyFont="1" applyBorder="1" applyAlignment="1">
      <alignment horizontal="center" vertical="center"/>
    </xf>
    <xf numFmtId="165" fontId="40" fillId="0" borderId="1" xfId="12" applyNumberFormat="1" applyFont="1" applyBorder="1" applyAlignment="1">
      <alignment horizontal="left" vertical="center"/>
    </xf>
    <xf numFmtId="2" fontId="40" fillId="0" borderId="1" xfId="13" applyNumberFormat="1" applyFont="1" applyBorder="1" applyAlignment="1">
      <alignment horizontal="center" vertical="center"/>
    </xf>
    <xf numFmtId="0" fontId="41" fillId="0" borderId="0" xfId="12" applyFont="1"/>
    <xf numFmtId="165" fontId="40" fillId="0" borderId="1" xfId="12" applyNumberFormat="1" applyFont="1" applyBorder="1" applyAlignment="1">
      <alignment vertical="center" wrapText="1"/>
    </xf>
    <xf numFmtId="2" fontId="40" fillId="0" borderId="1" xfId="13" applyNumberFormat="1" applyFont="1" applyBorder="1" applyAlignment="1">
      <alignment horizontal="center" vertical="center" wrapText="1"/>
    </xf>
    <xf numFmtId="165" fontId="40" fillId="0" borderId="1" xfId="12" applyNumberFormat="1" applyFont="1" applyBorder="1" applyAlignment="1">
      <alignment vertical="center"/>
    </xf>
    <xf numFmtId="2" fontId="37" fillId="0" borderId="1" xfId="13" applyNumberFormat="1" applyFont="1" applyBorder="1" applyAlignment="1">
      <alignment horizontal="center" vertical="center"/>
    </xf>
    <xf numFmtId="0" fontId="37" fillId="0" borderId="1" xfId="12" applyNumberFormat="1" applyFont="1" applyBorder="1" applyAlignment="1">
      <alignment horizontal="center" vertical="center" wrapText="1"/>
    </xf>
    <xf numFmtId="2" fontId="37" fillId="0" borderId="1" xfId="13" applyNumberFormat="1" applyFont="1" applyBorder="1" applyAlignment="1">
      <alignment horizontal="center" vertical="center" wrapText="1"/>
    </xf>
    <xf numFmtId="0" fontId="39" fillId="0" borderId="0" xfId="12" applyFont="1" applyAlignment="1">
      <alignment wrapText="1"/>
    </xf>
    <xf numFmtId="0" fontId="42" fillId="0" borderId="0" xfId="12" applyFont="1" applyAlignment="1">
      <alignment wrapText="1"/>
    </xf>
    <xf numFmtId="0" fontId="36" fillId="0" borderId="1" xfId="12" applyNumberFormat="1" applyFont="1" applyBorder="1" applyAlignment="1">
      <alignment horizontal="center" vertical="center"/>
    </xf>
    <xf numFmtId="165" fontId="36" fillId="0" borderId="1" xfId="12" applyNumberFormat="1" applyFont="1" applyBorder="1" applyAlignment="1">
      <alignment horizontal="center" vertical="center"/>
    </xf>
    <xf numFmtId="2" fontId="40" fillId="0" borderId="1" xfId="13" applyNumberFormat="1" applyFont="1" applyFill="1" applyBorder="1" applyAlignment="1">
      <alignment horizontal="center" vertical="center"/>
    </xf>
    <xf numFmtId="4" fontId="40" fillId="0" borderId="1" xfId="13" applyNumberFormat="1" applyFont="1" applyFill="1" applyBorder="1" applyAlignment="1">
      <alignment horizontal="center" vertical="center"/>
    </xf>
    <xf numFmtId="4" fontId="36" fillId="0" borderId="1" xfId="13" applyNumberFormat="1" applyFont="1" applyFill="1" applyBorder="1" applyAlignment="1">
      <alignment horizontal="center" vertical="center"/>
    </xf>
    <xf numFmtId="0" fontId="23" fillId="0" borderId="0" xfId="12" applyFont="1" applyAlignment="1">
      <alignment horizontal="center" vertical="center"/>
    </xf>
    <xf numFmtId="165" fontId="40" fillId="0" borderId="1" xfId="12" applyNumberFormat="1" applyFont="1" applyBorder="1" applyAlignment="1">
      <alignment horizontal="center" vertical="center" wrapText="1"/>
    </xf>
    <xf numFmtId="0" fontId="30" fillId="0" borderId="46" xfId="10" applyFont="1" applyFill="1" applyBorder="1" applyAlignment="1">
      <alignment horizontal="center" vertical="center"/>
    </xf>
    <xf numFmtId="0" fontId="30" fillId="0" borderId="47" xfId="10" applyFont="1" applyFill="1" applyBorder="1" applyAlignment="1">
      <alignment horizontal="center" vertical="center"/>
    </xf>
    <xf numFmtId="2" fontId="27" fillId="0" borderId="19" xfId="10" applyNumberFormat="1" applyBorder="1" applyAlignment="1">
      <alignment horizontal="center" vertical="center"/>
    </xf>
    <xf numFmtId="2" fontId="27" fillId="7" borderId="48" xfId="10" applyNumberFormat="1" applyFill="1" applyBorder="1" applyAlignment="1">
      <alignment horizontal="center" vertical="center"/>
    </xf>
    <xf numFmtId="2" fontId="30" fillId="6" borderId="49" xfId="10" applyNumberFormat="1" applyFont="1" applyFill="1" applyBorder="1" applyAlignment="1">
      <alignment horizontal="center" vertical="center"/>
    </xf>
    <xf numFmtId="0" fontId="43" fillId="0" borderId="5" xfId="10" applyFont="1" applyBorder="1" applyAlignment="1">
      <alignment horizontal="center" vertical="center"/>
    </xf>
    <xf numFmtId="2" fontId="43" fillId="0" borderId="34" xfId="10" applyNumberFormat="1" applyFont="1" applyBorder="1" applyAlignment="1">
      <alignment horizontal="center" vertical="center"/>
    </xf>
    <xf numFmtId="0" fontId="43" fillId="0" borderId="7" xfId="10" applyFont="1" applyBorder="1" applyAlignment="1">
      <alignment vertical="center"/>
    </xf>
    <xf numFmtId="0" fontId="43" fillId="0" borderId="5" xfId="10" applyFont="1" applyBorder="1" applyAlignment="1">
      <alignment vertical="center"/>
    </xf>
    <xf numFmtId="2" fontId="43" fillId="0" borderId="34" xfId="10" applyNumberFormat="1" applyFont="1" applyBorder="1" applyAlignment="1">
      <alignment vertical="center"/>
    </xf>
    <xf numFmtId="0" fontId="43" fillId="0" borderId="7" xfId="10" applyFont="1" applyBorder="1" applyAlignment="1">
      <alignment horizontal="center" vertical="center"/>
    </xf>
    <xf numFmtId="4" fontId="37" fillId="0" borderId="1" xfId="13" applyNumberFormat="1" applyFont="1" applyFill="1" applyBorder="1" applyAlignment="1">
      <alignment horizontal="center" vertical="center"/>
    </xf>
    <xf numFmtId="165" fontId="37" fillId="6" borderId="1" xfId="12" applyNumberFormat="1" applyFont="1" applyFill="1" applyBorder="1" applyAlignment="1">
      <alignment vertical="center" wrapText="1"/>
    </xf>
    <xf numFmtId="165" fontId="37" fillId="6" borderId="1" xfId="12" applyNumberFormat="1" applyFont="1" applyFill="1" applyBorder="1" applyAlignment="1">
      <alignment horizontal="center" vertical="center" wrapText="1"/>
    </xf>
    <xf numFmtId="0" fontId="14" fillId="0" borderId="1" xfId="16" applyFont="1" applyFill="1" applyBorder="1" applyAlignment="1">
      <alignment horizontal="center" vertical="center"/>
    </xf>
    <xf numFmtId="49" fontId="37" fillId="8" borderId="1" xfId="17" applyNumberFormat="1" applyFont="1" applyFill="1" applyBorder="1" applyAlignment="1" applyProtection="1">
      <alignment horizontal="left" vertical="center" wrapText="1"/>
      <protection hidden="1"/>
    </xf>
    <xf numFmtId="43" fontId="45" fillId="0" borderId="1" xfId="18" applyFont="1" applyFill="1" applyBorder="1" applyAlignment="1" applyProtection="1">
      <alignment vertical="center"/>
      <protection hidden="1"/>
    </xf>
    <xf numFmtId="43" fontId="45" fillId="0" borderId="1" xfId="18" applyFont="1" applyFill="1" applyBorder="1" applyAlignment="1" applyProtection="1">
      <alignment horizontal="center" vertical="center"/>
      <protection hidden="1"/>
    </xf>
    <xf numFmtId="43" fontId="45" fillId="0" borderId="1" xfId="18" applyFont="1" applyFill="1" applyBorder="1" applyAlignment="1" applyProtection="1">
      <alignment horizontal="right" vertical="center"/>
      <protection hidden="1"/>
    </xf>
    <xf numFmtId="165" fontId="45" fillId="0" borderId="1" xfId="13" applyFont="1" applyFill="1" applyBorder="1" applyAlignment="1" applyProtection="1">
      <alignment vertical="center"/>
      <protection hidden="1"/>
    </xf>
    <xf numFmtId="0" fontId="46" fillId="0" borderId="0" xfId="2" applyFont="1" applyFill="1" applyAlignment="1">
      <alignment horizontal="center"/>
    </xf>
    <xf numFmtId="0" fontId="7" fillId="0" borderId="0" xfId="2" applyFont="1" applyFill="1" applyAlignment="1">
      <alignment horizontal="center"/>
    </xf>
    <xf numFmtId="165" fontId="47" fillId="0" borderId="0" xfId="2" applyNumberFormat="1" applyFont="1" applyFill="1" applyAlignment="1">
      <alignment horizontal="center"/>
    </xf>
    <xf numFmtId="43" fontId="7" fillId="0" borderId="0" xfId="2" applyNumberFormat="1" applyFont="1" applyFill="1" applyAlignment="1">
      <alignment horizontal="center"/>
    </xf>
    <xf numFmtId="165" fontId="7" fillId="0" borderId="0" xfId="2" applyNumberFormat="1" applyFont="1" applyFill="1" applyAlignment="1">
      <alignment horizontal="center"/>
    </xf>
    <xf numFmtId="0" fontId="47" fillId="0" borderId="0" xfId="2" applyFont="1" applyFill="1" applyAlignment="1">
      <alignment horizontal="center"/>
    </xf>
    <xf numFmtId="0" fontId="46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46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1" fontId="37" fillId="0" borderId="1" xfId="12" applyNumberFormat="1" applyFont="1" applyBorder="1" applyAlignment="1">
      <alignment horizontal="center" vertical="center"/>
    </xf>
    <xf numFmtId="165" fontId="36" fillId="0" borderId="1" xfId="12" applyNumberFormat="1" applyFont="1" applyBorder="1" applyAlignment="1">
      <alignment vertical="center" wrapText="1"/>
    </xf>
    <xf numFmtId="165" fontId="36" fillId="0" borderId="1" xfId="12" applyNumberFormat="1" applyFont="1" applyBorder="1" applyAlignment="1">
      <alignment horizontal="center" vertical="center" wrapText="1"/>
    </xf>
    <xf numFmtId="169" fontId="36" fillId="0" borderId="1" xfId="12" applyNumberFormat="1" applyFont="1" applyBorder="1" applyAlignment="1">
      <alignment vertical="center" wrapText="1"/>
    </xf>
    <xf numFmtId="165" fontId="15" fillId="0" borderId="1" xfId="8" applyFont="1" applyFill="1" applyBorder="1" applyAlignment="1">
      <alignment horizontal="center" vertical="center" wrapText="1"/>
    </xf>
    <xf numFmtId="165" fontId="25" fillId="2" borderId="1" xfId="8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165" fontId="48" fillId="0" borderId="1" xfId="12" applyNumberFormat="1" applyFont="1" applyBorder="1" applyAlignment="1">
      <alignment vertical="center" wrapText="1"/>
    </xf>
    <xf numFmtId="0" fontId="27" fillId="0" borderId="0" xfId="10" applyAlignment="1">
      <alignment vertical="center"/>
    </xf>
    <xf numFmtId="0" fontId="28" fillId="0" borderId="0" xfId="10" applyFont="1"/>
    <xf numFmtId="0" fontId="28" fillId="0" borderId="0" xfId="10" applyFont="1" applyAlignment="1">
      <alignment horizontal="center" vertical="center" wrapText="1"/>
    </xf>
    <xf numFmtId="0" fontId="28" fillId="5" borderId="50" xfId="10" applyFont="1" applyFill="1" applyBorder="1" applyAlignment="1">
      <alignment horizontal="center" vertical="center"/>
    </xf>
    <xf numFmtId="0" fontId="28" fillId="5" borderId="51" xfId="10" applyFont="1" applyFill="1" applyBorder="1" applyAlignment="1">
      <alignment horizontal="center" vertical="center"/>
    </xf>
    <xf numFmtId="0" fontId="28" fillId="5" borderId="6" xfId="10" applyFont="1" applyFill="1" applyBorder="1" applyAlignment="1">
      <alignment horizontal="center" vertical="center" wrapText="1"/>
    </xf>
    <xf numFmtId="170" fontId="27" fillId="0" borderId="0" xfId="10" applyNumberFormat="1"/>
    <xf numFmtId="0" fontId="51" fillId="0" borderId="34" xfId="10" applyFont="1" applyBorder="1" applyAlignment="1">
      <alignment horizontal="left" vertical="center" wrapText="1"/>
    </xf>
    <xf numFmtId="0" fontId="28" fillId="0" borderId="50" xfId="10" applyFont="1" applyFill="1" applyBorder="1" applyAlignment="1">
      <alignment horizontal="center" vertical="center"/>
    </xf>
    <xf numFmtId="0" fontId="51" fillId="0" borderId="51" xfId="10" applyFont="1" applyFill="1" applyBorder="1" applyAlignment="1">
      <alignment horizontal="left" vertical="center" wrapText="1"/>
    </xf>
    <xf numFmtId="0" fontId="27" fillId="6" borderId="0" xfId="10" applyFill="1"/>
    <xf numFmtId="0" fontId="51" fillId="0" borderId="34" xfId="10" applyFont="1" applyBorder="1" applyAlignment="1">
      <alignment horizontal="center" vertical="center" wrapText="1"/>
    </xf>
    <xf numFmtId="171" fontId="28" fillId="0" borderId="52" xfId="10" applyNumberFormat="1" applyFont="1" applyBorder="1" applyAlignment="1">
      <alignment horizontal="left" vertical="center"/>
    </xf>
    <xf numFmtId="43" fontId="27" fillId="0" borderId="0" xfId="10" applyNumberFormat="1"/>
    <xf numFmtId="0" fontId="25" fillId="0" borderId="0" xfId="24" applyFont="1" applyAlignment="1">
      <alignment horizontal="left" vertical="center"/>
    </xf>
    <xf numFmtId="0" fontId="25" fillId="0" borderId="0" xfId="24" applyFont="1" applyAlignment="1">
      <alignment horizontal="right" vertical="center"/>
    </xf>
    <xf numFmtId="4" fontId="27" fillId="0" borderId="0" xfId="10" applyNumberFormat="1" applyAlignment="1">
      <alignment vertical="center"/>
    </xf>
    <xf numFmtId="172" fontId="27" fillId="0" borderId="0" xfId="10" applyNumberFormat="1" applyAlignment="1">
      <alignment horizontal="center" vertical="center"/>
    </xf>
    <xf numFmtId="4" fontId="52" fillId="0" borderId="0" xfId="10" applyNumberFormat="1" applyFont="1" applyAlignment="1">
      <alignment horizontal="center" vertical="center"/>
    </xf>
    <xf numFmtId="43" fontId="28" fillId="0" borderId="0" xfId="10" applyNumberFormat="1" applyFont="1"/>
    <xf numFmtId="0" fontId="54" fillId="0" borderId="0" xfId="10" applyFont="1" applyFill="1" applyAlignment="1">
      <alignment vertical="center"/>
    </xf>
    <xf numFmtId="0" fontId="56" fillId="0" borderId="0" xfId="10" applyFont="1" applyFill="1" applyAlignment="1">
      <alignment vertical="center"/>
    </xf>
    <xf numFmtId="0" fontId="57" fillId="5" borderId="1" xfId="10" applyFont="1" applyFill="1" applyBorder="1" applyAlignment="1">
      <alignment horizontal="center" vertical="center"/>
    </xf>
    <xf numFmtId="0" fontId="30" fillId="0" borderId="0" xfId="10" applyFont="1"/>
    <xf numFmtId="0" fontId="61" fillId="0" borderId="0" xfId="27" applyFont="1"/>
    <xf numFmtId="0" fontId="59" fillId="0" borderId="0" xfId="27" applyFont="1" applyAlignment="1">
      <alignment wrapText="1"/>
    </xf>
    <xf numFmtId="0" fontId="27" fillId="0" borderId="0" xfId="28" applyAlignment="1">
      <alignment horizontal="center" vertical="center"/>
    </xf>
    <xf numFmtId="0" fontId="28" fillId="0" borderId="5" xfId="28" applyFont="1" applyBorder="1" applyAlignment="1">
      <alignment horizontal="center" vertical="center"/>
    </xf>
    <xf numFmtId="0" fontId="28" fillId="0" borderId="6" xfId="28" applyFont="1" applyBorder="1" applyAlignment="1">
      <alignment horizontal="center" vertical="center"/>
    </xf>
    <xf numFmtId="0" fontId="28" fillId="0" borderId="7" xfId="28" applyFont="1" applyBorder="1" applyAlignment="1">
      <alignment horizontal="center" vertical="center"/>
    </xf>
    <xf numFmtId="0" fontId="28" fillId="0" borderId="8" xfId="28" applyFont="1" applyBorder="1" applyAlignment="1">
      <alignment horizontal="center" vertical="center"/>
    </xf>
    <xf numFmtId="0" fontId="27" fillId="0" borderId="9" xfId="28" applyBorder="1" applyAlignment="1">
      <alignment horizontal="center" vertical="center"/>
    </xf>
    <xf numFmtId="0" fontId="27" fillId="0" borderId="10" xfId="28" applyBorder="1" applyAlignment="1">
      <alignment horizontal="left" vertical="center"/>
    </xf>
    <xf numFmtId="0" fontId="27" fillId="0" borderId="0" xfId="28" applyBorder="1" applyAlignment="1">
      <alignment horizontal="center" vertical="center"/>
    </xf>
    <xf numFmtId="0" fontId="28" fillId="0" borderId="11" xfId="28" applyFont="1" applyBorder="1" applyAlignment="1">
      <alignment horizontal="center" vertical="center"/>
    </xf>
    <xf numFmtId="0" fontId="27" fillId="0" borderId="12" xfId="28" applyBorder="1" applyAlignment="1">
      <alignment horizontal="center" vertical="center"/>
    </xf>
    <xf numFmtId="0" fontId="27" fillId="0" borderId="13" xfId="28" applyBorder="1" applyAlignment="1">
      <alignment horizontal="left" vertical="center"/>
    </xf>
    <xf numFmtId="0" fontId="28" fillId="0" borderId="11" xfId="28" applyFont="1" applyFill="1" applyBorder="1" applyAlignment="1">
      <alignment horizontal="center" vertical="center"/>
    </xf>
    <xf numFmtId="0" fontId="28" fillId="0" borderId="14" xfId="28" applyFont="1" applyFill="1" applyBorder="1" applyAlignment="1">
      <alignment horizontal="center" vertical="center"/>
    </xf>
    <xf numFmtId="0" fontId="27" fillId="0" borderId="15" xfId="28" applyBorder="1" applyAlignment="1">
      <alignment horizontal="center" vertical="center"/>
    </xf>
    <xf numFmtId="0" fontId="27" fillId="0" borderId="16" xfId="28" applyBorder="1" applyAlignment="1">
      <alignment horizontal="left" vertical="center"/>
    </xf>
    <xf numFmtId="0" fontId="27" fillId="0" borderId="6" xfId="28" applyBorder="1" applyAlignment="1">
      <alignment horizontal="center" vertical="center"/>
    </xf>
    <xf numFmtId="0" fontId="27" fillId="0" borderId="7" xfId="28" applyBorder="1" applyAlignment="1">
      <alignment horizontal="center" vertical="center"/>
    </xf>
    <xf numFmtId="0" fontId="27" fillId="0" borderId="8" xfId="28" applyBorder="1" applyAlignment="1">
      <alignment horizontal="center" vertical="center"/>
    </xf>
    <xf numFmtId="0" fontId="27" fillId="0" borderId="9" xfId="28" applyFill="1" applyBorder="1" applyAlignment="1">
      <alignment horizontal="center" vertical="center"/>
    </xf>
    <xf numFmtId="0" fontId="27" fillId="0" borderId="10" xfId="28" applyBorder="1" applyAlignment="1">
      <alignment horizontal="center" vertical="center"/>
    </xf>
    <xf numFmtId="0" fontId="27" fillId="0" borderId="14" xfId="28" applyBorder="1" applyAlignment="1">
      <alignment horizontal="center" vertical="center"/>
    </xf>
    <xf numFmtId="0" fontId="27" fillId="0" borderId="16" xfId="28" applyBorder="1" applyAlignment="1">
      <alignment horizontal="center" vertical="center"/>
    </xf>
    <xf numFmtId="0" fontId="28" fillId="0" borderId="2" xfId="28" applyFont="1" applyBorder="1" applyAlignment="1">
      <alignment horizontal="center" vertical="center"/>
    </xf>
    <xf numFmtId="0" fontId="28" fillId="0" borderId="4" xfId="28" applyFont="1" applyBorder="1" applyAlignment="1">
      <alignment horizontal="center" vertical="center"/>
    </xf>
    <xf numFmtId="0" fontId="28" fillId="0" borderId="18" xfId="28" applyFont="1" applyBorder="1" applyAlignment="1">
      <alignment horizontal="center" vertical="center"/>
    </xf>
    <xf numFmtId="0" fontId="28" fillId="0" borderId="3" xfId="28" applyFont="1" applyBorder="1" applyAlignment="1">
      <alignment horizontal="center" vertical="center"/>
    </xf>
    <xf numFmtId="0" fontId="29" fillId="0" borderId="19" xfId="28" applyFont="1" applyBorder="1" applyAlignment="1">
      <alignment horizontal="center" vertical="center"/>
    </xf>
    <xf numFmtId="0" fontId="27" fillId="0" borderId="20" xfId="28" applyBorder="1" applyAlignment="1">
      <alignment horizontal="center" vertical="center"/>
    </xf>
    <xf numFmtId="0" fontId="27" fillId="0" borderId="21" xfId="28" applyBorder="1" applyAlignment="1">
      <alignment horizontal="left" vertical="center"/>
    </xf>
    <xf numFmtId="0" fontId="27" fillId="0" borderId="22" xfId="28" applyBorder="1" applyAlignment="1">
      <alignment horizontal="center" vertical="center"/>
    </xf>
    <xf numFmtId="0" fontId="27" fillId="0" borderId="23" xfId="28" applyBorder="1" applyAlignment="1">
      <alignment horizontal="center" vertical="center"/>
    </xf>
    <xf numFmtId="0" fontId="27" fillId="0" borderId="21" xfId="28" applyBorder="1" applyAlignment="1">
      <alignment horizontal="center" vertical="center"/>
    </xf>
    <xf numFmtId="0" fontId="27" fillId="0" borderId="24" xfId="28" applyBorder="1" applyAlignment="1">
      <alignment horizontal="center" vertical="center"/>
    </xf>
    <xf numFmtId="0" fontId="27" fillId="0" borderId="25" xfId="28" applyBorder="1" applyAlignment="1">
      <alignment horizontal="left" vertical="center"/>
    </xf>
    <xf numFmtId="0" fontId="27" fillId="0" borderId="26" xfId="28" applyBorder="1" applyAlignment="1">
      <alignment horizontal="center" vertical="center"/>
    </xf>
    <xf numFmtId="0" fontId="27" fillId="0" borderId="1" xfId="28" applyBorder="1" applyAlignment="1">
      <alignment horizontal="center" vertical="center"/>
    </xf>
    <xf numFmtId="0" fontId="27" fillId="0" borderId="25" xfId="28" applyBorder="1" applyAlignment="1">
      <alignment horizontal="center" vertical="center"/>
    </xf>
    <xf numFmtId="0" fontId="27" fillId="0" borderId="1" xfId="28" applyFill="1" applyBorder="1" applyAlignment="1">
      <alignment horizontal="center" vertical="center"/>
    </xf>
    <xf numFmtId="0" fontId="27" fillId="0" borderId="25" xfId="28" applyFill="1" applyBorder="1" applyAlignment="1">
      <alignment horizontal="center" vertical="center"/>
    </xf>
    <xf numFmtId="0" fontId="27" fillId="0" borderId="27" xfId="28" applyBorder="1" applyAlignment="1">
      <alignment horizontal="center" vertical="center"/>
    </xf>
    <xf numFmtId="0" fontId="27" fillId="0" borderId="28" xfId="28" applyBorder="1" applyAlignment="1">
      <alignment horizontal="left" vertical="center"/>
    </xf>
    <xf numFmtId="0" fontId="27" fillId="0" borderId="29" xfId="28" applyBorder="1" applyAlignment="1">
      <alignment horizontal="center" vertical="center"/>
    </xf>
    <xf numFmtId="0" fontId="27" fillId="0" borderId="30" xfId="28" applyBorder="1" applyAlignment="1">
      <alignment horizontal="center" vertical="center"/>
    </xf>
    <xf numFmtId="0" fontId="27" fillId="0" borderId="28" xfId="28" applyBorder="1" applyAlignment="1">
      <alignment horizontal="center" vertical="center"/>
    </xf>
    <xf numFmtId="0" fontId="27" fillId="0" borderId="0" xfId="28"/>
    <xf numFmtId="0" fontId="62" fillId="0" borderId="1" xfId="12" applyNumberFormat="1" applyFont="1" applyBorder="1" applyAlignment="1">
      <alignment horizontal="center" vertical="center"/>
    </xf>
    <xf numFmtId="165" fontId="62" fillId="0" borderId="1" xfId="12" applyNumberFormat="1" applyFont="1" applyBorder="1" applyAlignment="1">
      <alignment vertical="center" wrapText="1"/>
    </xf>
    <xf numFmtId="0" fontId="64" fillId="0" borderId="0" xfId="12" applyFont="1"/>
    <xf numFmtId="0" fontId="63" fillId="0" borderId="1" xfId="12" applyNumberFormat="1" applyFont="1" applyBorder="1" applyAlignment="1">
      <alignment horizontal="center" vertical="center"/>
    </xf>
    <xf numFmtId="165" fontId="63" fillId="0" borderId="1" xfId="12" applyNumberFormat="1" applyFont="1" applyBorder="1" applyAlignment="1">
      <alignment horizontal="left" vertical="center"/>
    </xf>
    <xf numFmtId="165" fontId="63" fillId="0" borderId="1" xfId="12" applyNumberFormat="1" applyFont="1" applyBorder="1" applyAlignment="1">
      <alignment vertical="center" wrapText="1"/>
    </xf>
    <xf numFmtId="165" fontId="63" fillId="0" borderId="1" xfId="12" applyNumberFormat="1" applyFont="1" applyBorder="1" applyAlignment="1">
      <alignment vertical="center"/>
    </xf>
    <xf numFmtId="0" fontId="65" fillId="0" borderId="0" xfId="10" applyFont="1"/>
    <xf numFmtId="0" fontId="66" fillId="5" borderId="1" xfId="10" applyFont="1" applyFill="1" applyBorder="1" applyAlignment="1">
      <alignment horizontal="center" vertical="center"/>
    </xf>
    <xf numFmtId="0" fontId="67" fillId="0" borderId="0" xfId="10" applyFont="1"/>
    <xf numFmtId="0" fontId="66" fillId="2" borderId="53" xfId="10" applyFont="1" applyFill="1" applyBorder="1" applyAlignment="1">
      <alignment horizontal="center" vertical="center"/>
    </xf>
    <xf numFmtId="0" fontId="25" fillId="2" borderId="23" xfId="10" applyFont="1" applyFill="1" applyBorder="1" applyAlignment="1">
      <alignment horizontal="center" vertical="center"/>
    </xf>
    <xf numFmtId="0" fontId="66" fillId="2" borderId="54" xfId="10" applyFont="1" applyFill="1" applyBorder="1" applyAlignment="1">
      <alignment horizontal="center" vertical="center"/>
    </xf>
    <xf numFmtId="0" fontId="25" fillId="0" borderId="1" xfId="10" applyFont="1" applyFill="1" applyBorder="1" applyAlignment="1">
      <alignment horizontal="left" vertical="center" wrapText="1"/>
    </xf>
    <xf numFmtId="0" fontId="25" fillId="2" borderId="1" xfId="10" applyFont="1" applyFill="1" applyBorder="1" applyAlignment="1">
      <alignment horizontal="center" vertical="center"/>
    </xf>
    <xf numFmtId="0" fontId="66" fillId="0" borderId="1" xfId="10" applyFont="1" applyFill="1" applyBorder="1" applyAlignment="1">
      <alignment horizontal="left" vertical="center" wrapText="1"/>
    </xf>
    <xf numFmtId="0" fontId="25" fillId="0" borderId="23" xfId="10" applyFont="1" applyBorder="1" applyAlignment="1">
      <alignment horizontal="center" vertical="center"/>
    </xf>
    <xf numFmtId="0" fontId="28" fillId="0" borderId="50" xfId="10" applyFont="1" applyBorder="1" applyAlignment="1">
      <alignment horizontal="center" vertical="center"/>
    </xf>
    <xf numFmtId="0" fontId="51" fillId="0" borderId="51" xfId="10" applyFont="1" applyBorder="1" applyAlignment="1">
      <alignment horizontal="left" vertical="center" wrapText="1"/>
    </xf>
    <xf numFmtId="0" fontId="66" fillId="2" borderId="1" xfId="10" applyFont="1" applyFill="1" applyBorder="1" applyAlignment="1">
      <alignment horizontal="center" vertical="center"/>
    </xf>
    <xf numFmtId="0" fontId="66" fillId="2" borderId="1" xfId="10" applyFont="1" applyFill="1" applyBorder="1" applyAlignment="1">
      <alignment horizontal="left" vertical="center" wrapText="1"/>
    </xf>
    <xf numFmtId="0" fontId="25" fillId="0" borderId="1" xfId="10" applyFont="1" applyBorder="1" applyAlignment="1">
      <alignment horizontal="center" vertical="center"/>
    </xf>
    <xf numFmtId="0" fontId="25" fillId="0" borderId="42" xfId="10" applyFont="1" applyBorder="1" applyAlignment="1">
      <alignment horizontal="center" vertical="center"/>
    </xf>
    <xf numFmtId="4" fontId="62" fillId="4" borderId="1" xfId="0" applyNumberFormat="1" applyFont="1" applyFill="1" applyBorder="1" applyAlignment="1">
      <alignment vertical="center"/>
    </xf>
    <xf numFmtId="4" fontId="62" fillId="4" borderId="1" xfId="0" applyNumberFormat="1" applyFont="1" applyFill="1" applyBorder="1" applyAlignment="1">
      <alignment horizontal="center" vertical="center"/>
    </xf>
    <xf numFmtId="4" fontId="62" fillId="2" borderId="1" xfId="0" applyNumberFormat="1" applyFont="1" applyFill="1" applyBorder="1" applyAlignment="1">
      <alignment vertical="center"/>
    </xf>
    <xf numFmtId="4" fontId="63" fillId="2" borderId="1" xfId="0" applyNumberFormat="1" applyFont="1" applyFill="1" applyBorder="1" applyAlignment="1">
      <alignment horizontal="center" vertical="center" wrapText="1"/>
    </xf>
    <xf numFmtId="4" fontId="63" fillId="2" borderId="1" xfId="0" applyNumberFormat="1" applyFont="1" applyFill="1" applyBorder="1" applyAlignment="1">
      <alignment horizontal="center" vertical="center"/>
    </xf>
    <xf numFmtId="9" fontId="63" fillId="0" borderId="23" xfId="22" applyFont="1" applyFill="1" applyBorder="1" applyAlignment="1">
      <alignment horizontal="center" vertical="center"/>
    </xf>
    <xf numFmtId="9" fontId="63" fillId="0" borderId="1" xfId="22" applyFont="1" applyFill="1" applyBorder="1" applyAlignment="1">
      <alignment horizontal="center" vertical="center"/>
    </xf>
    <xf numFmtId="0" fontId="62" fillId="0" borderId="23" xfId="12" applyNumberFormat="1" applyFont="1" applyBorder="1" applyAlignment="1">
      <alignment horizontal="center" vertical="center"/>
    </xf>
    <xf numFmtId="165" fontId="62" fillId="0" borderId="23" xfId="12" applyNumberFormat="1" applyFont="1" applyBorder="1" applyAlignment="1">
      <alignment vertical="center" wrapText="1"/>
    </xf>
    <xf numFmtId="0" fontId="66" fillId="0" borderId="1" xfId="10" applyFont="1" applyFill="1" applyBorder="1" applyAlignment="1">
      <alignment horizontal="center" vertical="center"/>
    </xf>
    <xf numFmtId="165" fontId="36" fillId="0" borderId="1" xfId="12" applyNumberFormat="1" applyFont="1" applyFill="1" applyBorder="1" applyAlignment="1">
      <alignment vertical="center" wrapText="1"/>
    </xf>
    <xf numFmtId="165" fontId="36" fillId="0" borderId="1" xfId="12" applyNumberFormat="1" applyFont="1" applyFill="1" applyBorder="1" applyAlignment="1">
      <alignment horizontal="center" vertical="center" wrapText="1"/>
    </xf>
    <xf numFmtId="0" fontId="55" fillId="0" borderId="0" xfId="10" applyFont="1" applyFill="1" applyAlignment="1">
      <alignment horizontal="center" vertical="center"/>
    </xf>
    <xf numFmtId="0" fontId="68" fillId="0" borderId="1" xfId="10" applyFont="1" applyFill="1" applyBorder="1" applyAlignment="1">
      <alignment horizontal="center" vertical="center"/>
    </xf>
    <xf numFmtId="164" fontId="62" fillId="2" borderId="23" xfId="21" applyFont="1" applyFill="1" applyBorder="1" applyAlignment="1">
      <alignment horizontal="center" vertical="center"/>
    </xf>
    <xf numFmtId="164" fontId="62" fillId="2" borderId="1" xfId="21" applyFont="1" applyFill="1" applyBorder="1" applyAlignment="1">
      <alignment horizontal="center" vertical="center"/>
    </xf>
    <xf numFmtId="164" fontId="69" fillId="5" borderId="1" xfId="21" applyFont="1" applyFill="1" applyBorder="1" applyAlignment="1">
      <alignment horizontal="center" vertical="center"/>
    </xf>
    <xf numFmtId="164" fontId="62" fillId="0" borderId="1" xfId="21" applyFont="1" applyBorder="1" applyAlignment="1">
      <alignment horizontal="center" vertical="center"/>
    </xf>
    <xf numFmtId="164" fontId="63" fillId="2" borderId="39" xfId="21" applyFont="1" applyFill="1" applyBorder="1" applyAlignment="1">
      <alignment horizontal="center" vertical="center"/>
    </xf>
    <xf numFmtId="164" fontId="69" fillId="0" borderId="1" xfId="21" applyFont="1" applyFill="1" applyBorder="1" applyAlignment="1">
      <alignment horizontal="center" vertical="center"/>
    </xf>
    <xf numFmtId="164" fontId="63" fillId="0" borderId="1" xfId="21" applyFont="1" applyFill="1" applyBorder="1" applyAlignment="1">
      <alignment horizontal="center" vertical="center" wrapText="1"/>
    </xf>
    <xf numFmtId="164" fontId="62" fillId="0" borderId="23" xfId="21" applyFont="1" applyBorder="1" applyAlignment="1">
      <alignment horizontal="center" vertical="center"/>
    </xf>
    <xf numFmtId="164" fontId="62" fillId="0" borderId="23" xfId="21" applyFont="1" applyFill="1" applyBorder="1" applyAlignment="1">
      <alignment horizontal="center" vertical="center"/>
    </xf>
    <xf numFmtId="164" fontId="63" fillId="0" borderId="1" xfId="21" applyFont="1" applyBorder="1" applyAlignment="1">
      <alignment horizontal="center" vertical="center"/>
    </xf>
    <xf numFmtId="164" fontId="63" fillId="0" borderId="1" xfId="21" applyFont="1" applyFill="1" applyBorder="1" applyAlignment="1">
      <alignment horizontal="center" vertical="center"/>
    </xf>
    <xf numFmtId="164" fontId="62" fillId="0" borderId="1" xfId="21" applyFont="1" applyFill="1" applyBorder="1" applyAlignment="1">
      <alignment horizontal="center" vertical="center"/>
    </xf>
    <xf numFmtId="164" fontId="62" fillId="4" borderId="1" xfId="21" applyFont="1" applyFill="1" applyBorder="1" applyAlignment="1">
      <alignment horizontal="center" vertical="center"/>
    </xf>
    <xf numFmtId="164" fontId="70" fillId="0" borderId="1" xfId="21" applyFont="1" applyBorder="1" applyAlignment="1">
      <alignment horizontal="center"/>
    </xf>
    <xf numFmtId="164" fontId="70" fillId="2" borderId="1" xfId="21" applyFont="1" applyFill="1" applyBorder="1" applyAlignment="1">
      <alignment horizontal="center" vertical="center"/>
    </xf>
    <xf numFmtId="0" fontId="57" fillId="5" borderId="1" xfId="10" applyFont="1" applyFill="1" applyBorder="1" applyAlignment="1">
      <alignment horizontal="center" vertical="center" wrapText="1"/>
    </xf>
    <xf numFmtId="0" fontId="71" fillId="2" borderId="54" xfId="10" applyFont="1" applyFill="1" applyBorder="1" applyAlignment="1">
      <alignment horizontal="center" vertical="center"/>
    </xf>
    <xf numFmtId="0" fontId="71" fillId="0" borderId="1" xfId="10" applyFont="1" applyBorder="1" applyAlignment="1">
      <alignment horizontal="left" vertical="center" wrapText="1"/>
    </xf>
    <xf numFmtId="0" fontId="72" fillId="0" borderId="23" xfId="10" applyFont="1" applyBorder="1" applyAlignment="1">
      <alignment horizontal="center" vertical="center"/>
    </xf>
    <xf numFmtId="0" fontId="27" fillId="0" borderId="0" xfId="10" applyFont="1"/>
    <xf numFmtId="0" fontId="73" fillId="2" borderId="39" xfId="10" applyFont="1" applyFill="1" applyBorder="1" applyAlignment="1">
      <alignment horizontal="left" vertical="center" wrapText="1"/>
    </xf>
    <xf numFmtId="0" fontId="74" fillId="2" borderId="39" xfId="10" applyFont="1" applyFill="1" applyBorder="1" applyAlignment="1">
      <alignment horizontal="center" vertical="center"/>
    </xf>
    <xf numFmtId="0" fontId="75" fillId="2" borderId="1" xfId="2" applyNumberFormat="1" applyFont="1" applyFill="1" applyBorder="1" applyAlignment="1">
      <alignment horizontal="center" vertical="center"/>
    </xf>
    <xf numFmtId="0" fontId="75" fillId="2" borderId="1" xfId="8" applyNumberFormat="1" applyFont="1" applyFill="1" applyBorder="1" applyAlignment="1">
      <alignment horizontal="center" vertical="center"/>
    </xf>
    <xf numFmtId="2" fontId="76" fillId="2" borderId="0" xfId="2" applyNumberFormat="1" applyFont="1" applyFill="1" applyAlignment="1">
      <alignment horizontal="center" vertical="center"/>
    </xf>
    <xf numFmtId="164" fontId="69" fillId="0" borderId="54" xfId="21" applyFont="1" applyFill="1" applyBorder="1" applyAlignment="1">
      <alignment horizontal="center" vertical="center"/>
    </xf>
    <xf numFmtId="164" fontId="69" fillId="0" borderId="55" xfId="21" applyFont="1" applyFill="1" applyBorder="1" applyAlignment="1">
      <alignment horizontal="center" vertical="center"/>
    </xf>
    <xf numFmtId="165" fontId="55" fillId="0" borderId="0" xfId="8" applyFont="1" applyFill="1" applyAlignment="1">
      <alignment horizontal="center" vertical="center"/>
    </xf>
    <xf numFmtId="165" fontId="68" fillId="0" borderId="1" xfId="8" applyFont="1" applyFill="1" applyBorder="1" applyAlignment="1">
      <alignment horizontal="center" vertical="center"/>
    </xf>
    <xf numFmtId="165" fontId="66" fillId="5" borderId="1" xfId="8" applyFont="1" applyFill="1" applyBorder="1" applyAlignment="1">
      <alignment horizontal="center" vertical="center"/>
    </xf>
    <xf numFmtId="165" fontId="62" fillId="2" borderId="23" xfId="8" applyFont="1" applyFill="1" applyBorder="1" applyAlignment="1">
      <alignment horizontal="center" vertical="center"/>
    </xf>
    <xf numFmtId="165" fontId="62" fillId="2" borderId="1" xfId="8" applyFont="1" applyFill="1" applyBorder="1" applyAlignment="1">
      <alignment horizontal="center" vertical="center"/>
    </xf>
    <xf numFmtId="165" fontId="69" fillId="5" borderId="1" xfId="8" applyFont="1" applyFill="1" applyBorder="1" applyAlignment="1">
      <alignment horizontal="center" vertical="center"/>
    </xf>
    <xf numFmtId="165" fontId="63" fillId="2" borderId="39" xfId="8" applyFont="1" applyFill="1" applyBorder="1" applyAlignment="1">
      <alignment horizontal="center" vertical="center"/>
    </xf>
    <xf numFmtId="165" fontId="69" fillId="0" borderId="1" xfId="8" applyFont="1" applyFill="1" applyBorder="1" applyAlignment="1">
      <alignment horizontal="center" vertical="center"/>
    </xf>
    <xf numFmtId="165" fontId="63" fillId="0" borderId="1" xfId="8" applyFont="1" applyFill="1" applyBorder="1" applyAlignment="1">
      <alignment horizontal="center" vertical="center" wrapText="1"/>
    </xf>
    <xf numFmtId="165" fontId="62" fillId="0" borderId="23" xfId="8" applyFont="1" applyBorder="1" applyAlignment="1">
      <alignment horizontal="center" vertical="center"/>
    </xf>
    <xf numFmtId="165" fontId="63" fillId="0" borderId="1" xfId="8" applyFont="1" applyBorder="1" applyAlignment="1">
      <alignment horizontal="center" vertical="center"/>
    </xf>
    <xf numFmtId="165" fontId="63" fillId="0" borderId="1" xfId="8" applyFont="1" applyBorder="1" applyAlignment="1">
      <alignment horizontal="center" vertical="center" wrapText="1"/>
    </xf>
    <xf numFmtId="165" fontId="62" fillId="0" borderId="1" xfId="8" applyFont="1" applyBorder="1" applyAlignment="1">
      <alignment horizontal="center" vertical="center"/>
    </xf>
    <xf numFmtId="165" fontId="69" fillId="0" borderId="55" xfId="8" applyFont="1" applyBorder="1" applyAlignment="1">
      <alignment horizontal="center" vertical="center"/>
    </xf>
    <xf numFmtId="165" fontId="62" fillId="4" borderId="1" xfId="8" applyFont="1" applyFill="1" applyBorder="1" applyAlignment="1">
      <alignment horizontal="center" vertical="center"/>
    </xf>
    <xf numFmtId="165" fontId="70" fillId="0" borderId="1" xfId="8" applyFont="1" applyBorder="1" applyAlignment="1">
      <alignment horizontal="center"/>
    </xf>
    <xf numFmtId="165" fontId="70" fillId="2" borderId="1" xfId="8" applyFont="1" applyFill="1" applyBorder="1" applyAlignment="1">
      <alignment horizontal="center" vertical="center"/>
    </xf>
    <xf numFmtId="165" fontId="27" fillId="0" borderId="0" xfId="8" applyFont="1"/>
    <xf numFmtId="0" fontId="78" fillId="0" borderId="0" xfId="29" applyFont="1" applyAlignment="1">
      <alignment horizontal="left" vertical="center"/>
    </xf>
    <xf numFmtId="0" fontId="78" fillId="0" borderId="0" xfId="29" applyFont="1" applyAlignment="1">
      <alignment horizontal="left" vertical="top"/>
    </xf>
    <xf numFmtId="0" fontId="79" fillId="0" borderId="0" xfId="29" applyFont="1" applyAlignment="1">
      <alignment horizontal="left" vertical="center"/>
    </xf>
    <xf numFmtId="0" fontId="80" fillId="0" borderId="0" xfId="29" applyFont="1" applyAlignment="1">
      <alignment horizontal="left" vertical="center"/>
    </xf>
    <xf numFmtId="0" fontId="81" fillId="0" borderId="0" xfId="29" applyFont="1" applyAlignment="1">
      <alignment horizontal="left" vertical="center"/>
    </xf>
    <xf numFmtId="0" fontId="82" fillId="0" borderId="0" xfId="29" applyFont="1" applyAlignment="1">
      <alignment horizontal="left" vertical="center"/>
    </xf>
    <xf numFmtId="0" fontId="83" fillId="9" borderId="2" xfId="29" applyFont="1" applyFill="1" applyBorder="1" applyAlignment="1">
      <alignment horizontal="center" vertical="center"/>
    </xf>
    <xf numFmtId="0" fontId="83" fillId="9" borderId="3" xfId="29" applyFont="1" applyFill="1" applyBorder="1" applyAlignment="1">
      <alignment horizontal="center" vertical="center"/>
    </xf>
    <xf numFmtId="0" fontId="83" fillId="9" borderId="4" xfId="29" applyFont="1" applyFill="1" applyBorder="1" applyAlignment="1">
      <alignment horizontal="center" vertical="center"/>
    </xf>
    <xf numFmtId="1" fontId="78" fillId="0" borderId="56" xfId="29" applyNumberFormat="1" applyFont="1" applyBorder="1" applyAlignment="1">
      <alignment horizontal="center" vertical="center" shrinkToFit="1"/>
    </xf>
    <xf numFmtId="0" fontId="85" fillId="2" borderId="57" xfId="30" applyFont="1" applyFill="1" applyBorder="1" applyAlignment="1" applyProtection="1">
      <alignment horizontal="left" vertical="center" wrapText="1"/>
      <protection locked="0"/>
    </xf>
    <xf numFmtId="0" fontId="85" fillId="2" borderId="57" xfId="30" applyFont="1" applyFill="1" applyBorder="1" applyAlignment="1" applyProtection="1">
      <alignment horizontal="center" vertical="center"/>
      <protection locked="0"/>
    </xf>
    <xf numFmtId="43" fontId="85" fillId="2" borderId="57" xfId="31" applyFont="1" applyFill="1" applyBorder="1" applyAlignment="1" applyProtection="1">
      <alignment horizontal="right" vertical="center"/>
      <protection locked="0"/>
    </xf>
    <xf numFmtId="43" fontId="78" fillId="0" borderId="58" xfId="31" applyFont="1" applyBorder="1" applyAlignment="1">
      <alignment horizontal="right" vertical="center" shrinkToFit="1"/>
    </xf>
    <xf numFmtId="43" fontId="78" fillId="0" borderId="0" xfId="29" applyNumberFormat="1" applyFont="1" applyAlignment="1">
      <alignment horizontal="left" vertical="top"/>
    </xf>
    <xf numFmtId="1" fontId="78" fillId="0" borderId="59" xfId="29" applyNumberFormat="1" applyFont="1" applyBorder="1" applyAlignment="1">
      <alignment horizontal="center" vertical="center" shrinkToFit="1"/>
    </xf>
    <xf numFmtId="0" fontId="85" fillId="2" borderId="60" xfId="30" applyFont="1" applyFill="1" applyBorder="1" applyAlignment="1" applyProtection="1">
      <alignment horizontal="left" vertical="center"/>
      <protection locked="0"/>
    </xf>
    <xf numFmtId="0" fontId="85" fillId="2" borderId="60" xfId="30" applyFont="1" applyFill="1" applyBorder="1" applyAlignment="1" applyProtection="1">
      <alignment horizontal="center" vertical="center"/>
      <protection locked="0"/>
    </xf>
    <xf numFmtId="43" fontId="85" fillId="2" borderId="60" xfId="31" applyFont="1" applyFill="1" applyBorder="1" applyAlignment="1" applyProtection="1">
      <alignment horizontal="right" vertical="center"/>
      <protection locked="0"/>
    </xf>
    <xf numFmtId="43" fontId="78" fillId="0" borderId="61" xfId="31" applyFont="1" applyBorder="1" applyAlignment="1">
      <alignment horizontal="right" vertical="center" shrinkToFit="1"/>
    </xf>
    <xf numFmtId="0" fontId="83" fillId="2" borderId="60" xfId="30" applyFont="1" applyFill="1" applyBorder="1" applyAlignment="1" applyProtection="1">
      <alignment horizontal="center" vertical="center"/>
      <protection locked="0"/>
    </xf>
    <xf numFmtId="173" fontId="80" fillId="0" borderId="58" xfId="31" applyNumberFormat="1" applyFont="1" applyBorder="1" applyAlignment="1">
      <alignment horizontal="right" vertical="center"/>
    </xf>
    <xf numFmtId="9" fontId="78" fillId="0" borderId="60" xfId="29" applyNumberFormat="1" applyFont="1" applyBorder="1" applyAlignment="1">
      <alignment horizontal="center" vertical="center"/>
    </xf>
    <xf numFmtId="0" fontId="87" fillId="0" borderId="0" xfId="29" applyFont="1" applyAlignment="1">
      <alignment horizontal="left" vertical="center"/>
    </xf>
    <xf numFmtId="174" fontId="87" fillId="0" borderId="0" xfId="31" applyNumberFormat="1" applyFont="1" applyAlignment="1">
      <alignment horizontal="right" vertical="center"/>
    </xf>
    <xf numFmtId="171" fontId="28" fillId="0" borderId="32" xfId="10" applyNumberFormat="1" applyFont="1" applyFill="1" applyBorder="1" applyAlignment="1">
      <alignment horizontal="left" vertical="center"/>
    </xf>
    <xf numFmtId="171" fontId="28" fillId="0" borderId="6" xfId="10" applyNumberFormat="1" applyFont="1" applyFill="1" applyBorder="1" applyAlignment="1">
      <alignment horizontal="left" vertical="center"/>
    </xf>
    <xf numFmtId="171" fontId="28" fillId="0" borderId="52" xfId="10" applyNumberFormat="1" applyFont="1" applyFill="1" applyBorder="1" applyAlignment="1">
      <alignment horizontal="left" vertical="center"/>
    </xf>
    <xf numFmtId="43" fontId="13" fillId="0" borderId="0" xfId="2" applyNumberFormat="1" applyFont="1" applyFill="1" applyAlignment="1">
      <alignment vertical="center" wrapText="1"/>
    </xf>
    <xf numFmtId="2" fontId="18" fillId="6" borderId="1" xfId="8" applyNumberFormat="1" applyFont="1" applyFill="1" applyBorder="1" applyAlignment="1">
      <alignment horizontal="center" vertical="center" wrapText="1"/>
    </xf>
    <xf numFmtId="2" fontId="17" fillId="6" borderId="1" xfId="8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left" vertical="center" wrapText="1"/>
    </xf>
    <xf numFmtId="0" fontId="23" fillId="6" borderId="1" xfId="0" applyFont="1" applyFill="1" applyBorder="1" applyAlignment="1">
      <alignment horizontal="center" vertical="center" wrapText="1"/>
    </xf>
    <xf numFmtId="9" fontId="23" fillId="6" borderId="1" xfId="0" applyNumberFormat="1" applyFont="1" applyFill="1" applyBorder="1" applyAlignment="1">
      <alignment horizontal="center" vertical="center"/>
    </xf>
    <xf numFmtId="0" fontId="54" fillId="0" borderId="0" xfId="10" applyFont="1" applyFill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0" fontId="26" fillId="2" borderId="0" xfId="12" applyFont="1" applyFill="1" applyAlignment="1">
      <alignment horizontal="left"/>
    </xf>
    <xf numFmtId="0" fontId="23" fillId="2" borderId="0" xfId="12" applyFont="1" applyFill="1" applyAlignment="1">
      <alignment horizontal="left"/>
    </xf>
    <xf numFmtId="0" fontId="7" fillId="0" borderId="0" xfId="2" applyFont="1" applyFill="1" applyAlignment="1">
      <alignment horizontal="left"/>
    </xf>
    <xf numFmtId="165" fontId="13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/>
    </xf>
    <xf numFmtId="0" fontId="11" fillId="0" borderId="0" xfId="2" applyFont="1" applyFill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165" fontId="40" fillId="6" borderId="1" xfId="12" applyNumberFormat="1" applyFont="1" applyFill="1" applyBorder="1" applyAlignment="1">
      <alignment vertical="center" wrapText="1"/>
    </xf>
    <xf numFmtId="165" fontId="40" fillId="6" borderId="1" xfId="12" applyNumberFormat="1" applyFont="1" applyFill="1" applyBorder="1" applyAlignment="1">
      <alignment horizontal="left" vertical="center"/>
    </xf>
    <xf numFmtId="0" fontId="1" fillId="0" borderId="0" xfId="10" applyFont="1"/>
    <xf numFmtId="165" fontId="63" fillId="6" borderId="1" xfId="8" applyFont="1" applyFill="1" applyBorder="1" applyAlignment="1">
      <alignment horizontal="center" vertical="center"/>
    </xf>
    <xf numFmtId="0" fontId="50" fillId="0" borderId="0" xfId="10" applyFont="1" applyAlignment="1">
      <alignment horizontal="center" vertical="center"/>
    </xf>
    <xf numFmtId="0" fontId="28" fillId="0" borderId="0" xfId="10" applyFont="1" applyAlignment="1">
      <alignment horizontal="center" vertical="center"/>
    </xf>
    <xf numFmtId="0" fontId="28" fillId="0" borderId="0" xfId="10" applyFont="1" applyAlignment="1">
      <alignment horizontal="center" vertical="center" wrapText="1"/>
    </xf>
    <xf numFmtId="0" fontId="53" fillId="0" borderId="0" xfId="10" applyFont="1" applyFill="1" applyAlignment="1">
      <alignment horizontal="center" vertical="center"/>
    </xf>
    <xf numFmtId="165" fontId="25" fillId="2" borderId="1" xfId="8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2" fontId="26" fillId="2" borderId="1" xfId="0" applyNumberFormat="1" applyFont="1" applyFill="1" applyBorder="1" applyAlignment="1">
      <alignment horizontal="center" vertical="center" wrapText="1"/>
    </xf>
    <xf numFmtId="2" fontId="25" fillId="0" borderId="1" xfId="8" applyNumberFormat="1" applyFont="1" applyFill="1" applyBorder="1" applyAlignment="1">
      <alignment horizontal="center" vertical="center" wrapText="1"/>
    </xf>
    <xf numFmtId="0" fontId="55" fillId="0" borderId="0" xfId="10" applyFont="1" applyFill="1" applyAlignment="1">
      <alignment horizontal="center" vertical="center"/>
    </xf>
    <xf numFmtId="165" fontId="25" fillId="2" borderId="39" xfId="8" applyFont="1" applyFill="1" applyBorder="1" applyAlignment="1">
      <alignment horizontal="center" vertical="center" wrapText="1"/>
    </xf>
    <xf numFmtId="165" fontId="25" fillId="2" borderId="23" xfId="8" applyFont="1" applyFill="1" applyBorder="1" applyAlignment="1">
      <alignment horizontal="center" vertical="center" wrapText="1"/>
    </xf>
    <xf numFmtId="165" fontId="25" fillId="0" borderId="1" xfId="8" applyFont="1" applyFill="1" applyBorder="1" applyAlignment="1">
      <alignment horizontal="center" vertical="center" wrapText="1"/>
    </xf>
    <xf numFmtId="0" fontId="78" fillId="0" borderId="59" xfId="29" applyFont="1" applyBorder="1" applyAlignment="1">
      <alignment horizontal="center" vertical="center"/>
    </xf>
    <xf numFmtId="0" fontId="78" fillId="0" borderId="60" xfId="29" applyFont="1" applyBorder="1" applyAlignment="1">
      <alignment horizontal="center" vertical="center"/>
    </xf>
    <xf numFmtId="0" fontId="78" fillId="0" borderId="61" xfId="29" applyFont="1" applyBorder="1" applyAlignment="1">
      <alignment horizontal="center" vertical="center"/>
    </xf>
    <xf numFmtId="0" fontId="78" fillId="0" borderId="59" xfId="29" applyFont="1" applyBorder="1" applyAlignment="1">
      <alignment horizontal="left" vertical="center"/>
    </xf>
    <xf numFmtId="0" fontId="78" fillId="0" borderId="60" xfId="29" applyFont="1" applyBorder="1" applyAlignment="1">
      <alignment horizontal="left" vertical="center"/>
    </xf>
    <xf numFmtId="173" fontId="78" fillId="0" borderId="62" xfId="31" applyNumberFormat="1" applyFont="1" applyBorder="1" applyAlignment="1">
      <alignment horizontal="right" vertical="center"/>
    </xf>
    <xf numFmtId="173" fontId="78" fillId="0" borderId="63" xfId="31" applyNumberFormat="1" applyFont="1" applyBorder="1" applyAlignment="1">
      <alignment horizontal="right" vertical="center"/>
    </xf>
    <xf numFmtId="173" fontId="78" fillId="0" borderId="64" xfId="31" applyNumberFormat="1" applyFont="1" applyBorder="1" applyAlignment="1">
      <alignment horizontal="right" vertical="center"/>
    </xf>
    <xf numFmtId="0" fontId="78" fillId="0" borderId="65" xfId="29" applyFont="1" applyBorder="1" applyAlignment="1">
      <alignment horizontal="center" vertical="center"/>
    </xf>
    <xf numFmtId="0" fontId="78" fillId="0" borderId="66" xfId="29" applyFont="1" applyBorder="1" applyAlignment="1">
      <alignment horizontal="center" vertical="center"/>
    </xf>
    <xf numFmtId="0" fontId="78" fillId="0" borderId="67" xfId="29" applyFont="1" applyBorder="1" applyAlignment="1">
      <alignment horizontal="center" vertical="center"/>
    </xf>
    <xf numFmtId="0" fontId="83" fillId="0" borderId="56" xfId="29" applyFont="1" applyBorder="1" applyAlignment="1">
      <alignment horizontal="left" vertical="center"/>
    </xf>
    <xf numFmtId="0" fontId="83" fillId="0" borderId="57" xfId="29" applyFont="1" applyBorder="1" applyAlignment="1">
      <alignment horizontal="left" vertical="center"/>
    </xf>
    <xf numFmtId="0" fontId="78" fillId="0" borderId="59" xfId="29" applyFont="1" applyBorder="1" applyAlignment="1">
      <alignment horizontal="center" vertical="top"/>
    </xf>
    <xf numFmtId="0" fontId="78" fillId="0" borderId="60" xfId="29" applyFont="1" applyBorder="1" applyAlignment="1">
      <alignment horizontal="center" vertical="top"/>
    </xf>
    <xf numFmtId="0" fontId="78" fillId="0" borderId="61" xfId="29" applyFont="1" applyBorder="1" applyAlignment="1">
      <alignment horizontal="center" vertical="top"/>
    </xf>
    <xf numFmtId="173" fontId="78" fillId="0" borderId="62" xfId="31" applyNumberFormat="1" applyFont="1" applyBorder="1" applyAlignment="1">
      <alignment horizontal="center" vertical="center"/>
    </xf>
    <xf numFmtId="173" fontId="78" fillId="0" borderId="63" xfId="31" applyNumberFormat="1" applyFont="1" applyBorder="1" applyAlignment="1">
      <alignment horizontal="center" vertical="center"/>
    </xf>
    <xf numFmtId="173" fontId="78" fillId="0" borderId="64" xfId="31" applyNumberFormat="1" applyFont="1" applyBorder="1" applyAlignment="1">
      <alignment horizontal="center" vertical="center"/>
    </xf>
    <xf numFmtId="0" fontId="32" fillId="6" borderId="0" xfId="11" applyFont="1" applyFill="1" applyAlignment="1">
      <alignment horizontal="center" vertical="center"/>
    </xf>
    <xf numFmtId="0" fontId="33" fillId="6" borderId="0" xfId="11" applyFont="1" applyFill="1" applyAlignment="1"/>
    <xf numFmtId="0" fontId="30" fillId="0" borderId="5" xfId="10" applyFont="1" applyBorder="1" applyAlignment="1">
      <alignment horizontal="center" vertical="center"/>
    </xf>
    <xf numFmtId="0" fontId="30" fillId="0" borderId="18" xfId="10" applyFont="1" applyBorder="1" applyAlignment="1">
      <alignment horizontal="center" vertical="center"/>
    </xf>
    <xf numFmtId="0" fontId="28" fillId="0" borderId="2" xfId="10" applyFont="1" applyBorder="1" applyAlignment="1">
      <alignment horizontal="center" vertical="center"/>
    </xf>
    <xf numFmtId="0" fontId="28" fillId="0" borderId="3" xfId="10" applyFont="1" applyBorder="1" applyAlignment="1">
      <alignment horizontal="center" vertical="center"/>
    </xf>
    <xf numFmtId="0" fontId="28" fillId="0" borderId="4" xfId="10" applyFont="1" applyBorder="1" applyAlignment="1">
      <alignment horizontal="center" vertical="center"/>
    </xf>
    <xf numFmtId="0" fontId="28" fillId="0" borderId="17" xfId="10" applyFont="1" applyFill="1" applyBorder="1" applyAlignment="1">
      <alignment horizontal="center" vertical="center"/>
    </xf>
    <xf numFmtId="0" fontId="28" fillId="0" borderId="12" xfId="10" applyFont="1" applyFill="1" applyBorder="1" applyAlignment="1">
      <alignment horizontal="center" vertical="center"/>
    </xf>
    <xf numFmtId="0" fontId="28" fillId="0" borderId="15" xfId="10" applyFont="1" applyFill="1" applyBorder="1" applyAlignment="1">
      <alignment horizontal="center" vertical="center"/>
    </xf>
    <xf numFmtId="0" fontId="28" fillId="0" borderId="2" xfId="28" applyFont="1" applyBorder="1" applyAlignment="1">
      <alignment horizontal="center" vertical="center"/>
    </xf>
    <xf numFmtId="0" fontId="28" fillId="0" borderId="3" xfId="28" applyFont="1" applyBorder="1" applyAlignment="1">
      <alignment horizontal="center" vertical="center"/>
    </xf>
    <xf numFmtId="0" fontId="28" fillId="0" borderId="4" xfId="28" applyFont="1" applyBorder="1" applyAlignment="1">
      <alignment horizontal="center" vertical="center"/>
    </xf>
    <xf numFmtId="0" fontId="28" fillId="0" borderId="17" xfId="28" applyFont="1" applyFill="1" applyBorder="1" applyAlignment="1">
      <alignment horizontal="center" vertical="center"/>
    </xf>
    <xf numFmtId="0" fontId="28" fillId="0" borderId="12" xfId="28" applyFont="1" applyFill="1" applyBorder="1" applyAlignment="1">
      <alignment horizontal="center" vertical="center"/>
    </xf>
    <xf numFmtId="0" fontId="28" fillId="0" borderId="15" xfId="28" applyFont="1" applyFill="1" applyBorder="1" applyAlignment="1">
      <alignment horizontal="center" vertical="center"/>
    </xf>
    <xf numFmtId="165" fontId="9" fillId="0" borderId="0" xfId="8" applyFont="1" applyFill="1" applyAlignment="1">
      <alignment horizontal="center" vertical="center" wrapText="1"/>
    </xf>
    <xf numFmtId="165" fontId="16" fillId="0" borderId="1" xfId="8" applyFont="1" applyFill="1" applyBorder="1" applyAlignment="1">
      <alignment horizontal="center" vertical="center" wrapText="1"/>
    </xf>
    <xf numFmtId="165" fontId="16" fillId="0" borderId="1" xfId="8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9" fillId="0" borderId="0" xfId="2" applyFont="1" applyFill="1" applyAlignment="1">
      <alignment horizontal="center" vertical="center" wrapText="1"/>
    </xf>
    <xf numFmtId="165" fontId="13" fillId="0" borderId="0" xfId="8" applyFont="1" applyFill="1" applyBorder="1" applyAlignment="1">
      <alignment vertical="center" wrapText="1"/>
    </xf>
    <xf numFmtId="165" fontId="13" fillId="0" borderId="0" xfId="8" applyFont="1" applyFill="1" applyAlignment="1">
      <alignment horizontal="center" vertical="center" wrapText="1"/>
    </xf>
    <xf numFmtId="165" fontId="9" fillId="0" borderId="0" xfId="8" applyFont="1" applyFill="1" applyAlignment="1">
      <alignment horizontal="left" vertical="center"/>
    </xf>
    <xf numFmtId="165" fontId="9" fillId="0" borderId="0" xfId="8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3" fillId="0" borderId="0" xfId="1" applyFont="1" applyFill="1" applyAlignment="1">
      <alignment vertical="center" wrapText="1"/>
    </xf>
    <xf numFmtId="165" fontId="10" fillId="0" borderId="0" xfId="8" applyFont="1" applyFill="1" applyAlignment="1">
      <alignment horizontal="center" vertical="center" wrapText="1"/>
    </xf>
    <xf numFmtId="0" fontId="38" fillId="0" borderId="0" xfId="12" applyFont="1" applyFill="1" applyAlignment="1">
      <alignment vertical="center"/>
    </xf>
    <xf numFmtId="0" fontId="38" fillId="0" borderId="0" xfId="12" applyFont="1" applyFill="1" applyAlignment="1">
      <alignment horizontal="left" vertical="center"/>
    </xf>
    <xf numFmtId="165" fontId="40" fillId="0" borderId="1" xfId="12" applyNumberFormat="1" applyFont="1" applyFill="1" applyBorder="1" applyAlignment="1">
      <alignment vertical="center" wrapText="1"/>
    </xf>
    <xf numFmtId="0" fontId="7" fillId="0" borderId="0" xfId="2" applyFont="1" applyFill="1" applyAlignment="1">
      <alignment horizontal="left" vertical="center"/>
    </xf>
    <xf numFmtId="0" fontId="7" fillId="0" borderId="0" xfId="2" applyFont="1" applyFill="1" applyAlignment="1">
      <alignment horizontal="left" vertical="center" wrapText="1"/>
    </xf>
    <xf numFmtId="0" fontId="39" fillId="0" borderId="0" xfId="12" applyFont="1" applyFill="1"/>
    <xf numFmtId="165" fontId="39" fillId="0" borderId="0" xfId="12" applyNumberFormat="1" applyFont="1" applyFill="1"/>
    <xf numFmtId="0" fontId="39" fillId="0" borderId="0" xfId="12" applyFont="1" applyFill="1" applyAlignment="1">
      <alignment horizontal="left"/>
    </xf>
    <xf numFmtId="43" fontId="41" fillId="0" borderId="0" xfId="12" applyNumberFormat="1" applyFont="1" applyFill="1"/>
    <xf numFmtId="165" fontId="41" fillId="0" borderId="0" xfId="12" applyNumberFormat="1" applyFont="1" applyFill="1"/>
    <xf numFmtId="0" fontId="41" fillId="0" borderId="0" xfId="12" applyFont="1" applyFill="1"/>
    <xf numFmtId="4" fontId="40" fillId="0" borderId="1" xfId="13" applyNumberFormat="1" applyFont="1" applyFill="1" applyBorder="1" applyAlignment="1">
      <alignment horizontal="center" vertical="center" wrapText="1"/>
    </xf>
    <xf numFmtId="0" fontId="63" fillId="0" borderId="0" xfId="12" applyFont="1" applyFill="1" applyAlignment="1">
      <alignment horizontal="left"/>
    </xf>
    <xf numFmtId="0" fontId="41" fillId="0" borderId="0" xfId="12" applyFont="1" applyFill="1" applyAlignment="1">
      <alignment horizontal="left"/>
    </xf>
    <xf numFmtId="4" fontId="41" fillId="0" borderId="0" xfId="12" applyNumberFormat="1" applyFont="1" applyFill="1"/>
    <xf numFmtId="0" fontId="39" fillId="0" borderId="0" xfId="12" applyFont="1" applyFill="1" applyAlignment="1">
      <alignment wrapText="1"/>
    </xf>
    <xf numFmtId="0" fontId="39" fillId="0" borderId="0" xfId="12" applyFont="1" applyFill="1" applyAlignment="1">
      <alignment horizontal="left" wrapText="1"/>
    </xf>
    <xf numFmtId="4" fontId="37" fillId="0" borderId="1" xfId="13" applyNumberFormat="1" applyFont="1" applyFill="1" applyBorder="1" applyAlignment="1">
      <alignment horizontal="center" vertical="center" wrapText="1"/>
    </xf>
    <xf numFmtId="0" fontId="42" fillId="0" borderId="0" xfId="12" applyFont="1" applyFill="1" applyAlignment="1">
      <alignment wrapText="1"/>
    </xf>
    <xf numFmtId="0" fontId="42" fillId="0" borderId="0" xfId="12" applyFont="1" applyFill="1" applyAlignment="1">
      <alignment horizontal="left" wrapText="1"/>
    </xf>
    <xf numFmtId="0" fontId="23" fillId="0" borderId="0" xfId="12" applyFont="1" applyFill="1" applyAlignment="1">
      <alignment horizontal="center" vertical="center"/>
    </xf>
    <xf numFmtId="0" fontId="23" fillId="0" borderId="0" xfId="12" applyFont="1" applyFill="1" applyAlignment="1">
      <alignment horizontal="left" vertical="center"/>
    </xf>
    <xf numFmtId="0" fontId="9" fillId="0" borderId="0" xfId="2" applyFont="1" applyFill="1" applyAlignment="1">
      <alignment horizontal="left" vertical="center" wrapText="1"/>
    </xf>
    <xf numFmtId="165" fontId="23" fillId="0" borderId="0" xfId="13" applyFont="1" applyFill="1" applyAlignment="1">
      <alignment horizontal="center" vertical="center"/>
    </xf>
    <xf numFmtId="0" fontId="23" fillId="0" borderId="0" xfId="12" applyFont="1" applyFill="1"/>
    <xf numFmtId="0" fontId="23" fillId="0" borderId="0" xfId="12" applyFont="1" applyFill="1" applyAlignment="1">
      <alignment horizontal="left"/>
    </xf>
    <xf numFmtId="0" fontId="67" fillId="0" borderId="0" xfId="10" applyFont="1" applyFill="1"/>
    <xf numFmtId="164" fontId="69" fillId="0" borderId="53" xfId="21" applyFont="1" applyFill="1" applyBorder="1" applyAlignment="1">
      <alignment horizontal="center" vertical="center"/>
    </xf>
    <xf numFmtId="0" fontId="27" fillId="0" borderId="0" xfId="10" applyFill="1"/>
    <xf numFmtId="0" fontId="27" fillId="0" borderId="0" xfId="10" applyFont="1" applyFill="1"/>
    <xf numFmtId="0" fontId="1" fillId="0" borderId="0" xfId="10" applyFont="1" applyFill="1" applyAlignment="1">
      <alignment vertical="center" wrapText="1"/>
    </xf>
    <xf numFmtId="0" fontId="1" fillId="0" borderId="0" xfId="10" applyFont="1" applyFill="1" applyAlignment="1">
      <alignment wrapText="1"/>
    </xf>
    <xf numFmtId="0" fontId="30" fillId="0" borderId="0" xfId="10" applyFont="1" applyFill="1"/>
    <xf numFmtId="0" fontId="1" fillId="0" borderId="0" xfId="10" applyFont="1" applyFill="1" applyAlignment="1">
      <alignment horizontal="left" vertical="center" wrapText="1"/>
    </xf>
    <xf numFmtId="164" fontId="70" fillId="0" borderId="55" xfId="21" applyFont="1" applyFill="1" applyBorder="1" applyAlignment="1">
      <alignment horizontal="center" vertical="center"/>
    </xf>
    <xf numFmtId="0" fontId="65" fillId="0" borderId="0" xfId="10" applyFont="1" applyFill="1" applyBorder="1"/>
    <xf numFmtId="0" fontId="65" fillId="0" borderId="0" xfId="10" applyFont="1" applyFill="1"/>
    <xf numFmtId="0" fontId="27" fillId="0" borderId="0" xfId="10" applyFont="1" applyFill="1" applyBorder="1"/>
    <xf numFmtId="165" fontId="63" fillId="0" borderId="0" xfId="12" applyNumberFormat="1" applyFont="1" applyFill="1" applyBorder="1" applyAlignment="1">
      <alignment vertical="center" wrapText="1"/>
    </xf>
    <xf numFmtId="0" fontId="64" fillId="0" borderId="0" xfId="12" applyFont="1" applyFill="1"/>
    <xf numFmtId="165" fontId="64" fillId="0" borderId="0" xfId="12" applyNumberFormat="1" applyFont="1" applyFill="1"/>
    <xf numFmtId="0" fontId="27" fillId="0" borderId="0" xfId="10" applyFill="1" applyBorder="1"/>
    <xf numFmtId="0" fontId="30" fillId="0" borderId="0" xfId="10" applyFont="1" applyFill="1" applyBorder="1"/>
    <xf numFmtId="164" fontId="70" fillId="0" borderId="1" xfId="21" applyFont="1" applyFill="1" applyBorder="1" applyAlignment="1">
      <alignment horizontal="center" vertical="center"/>
    </xf>
    <xf numFmtId="0" fontId="60" fillId="0" borderId="0" xfId="28" applyFont="1" applyFill="1"/>
    <xf numFmtId="0" fontId="61" fillId="0" borderId="0" xfId="27" applyFont="1" applyFill="1"/>
    <xf numFmtId="0" fontId="59" fillId="0" borderId="0" xfId="27" applyFont="1" applyFill="1" applyAlignment="1">
      <alignment wrapText="1"/>
    </xf>
  </cellXfs>
  <cellStyles count="32">
    <cellStyle name="Comma" xfId="8" builtinId="3"/>
    <cellStyle name="Comma 18" xfId="3" xr:uid="{B5C39159-C35C-429E-A50D-A949D10BF3A9}"/>
    <cellStyle name="Comma 19" xfId="7" xr:uid="{59C973CD-43AD-47CF-9D69-8168E6E5F87F}"/>
    <cellStyle name="Comma 2" xfId="13" xr:uid="{D4081A32-1329-40FE-B989-C22DE56A6081}"/>
    <cellStyle name="Comma 2 2" xfId="23" xr:uid="{DEE5BDCC-7410-4B77-9456-7659586955FB}"/>
    <cellStyle name="Comma 3" xfId="31" xr:uid="{8ED8210A-7E02-44C3-B847-D688744730E4}"/>
    <cellStyle name="Comma 4" xfId="20" xr:uid="{122DD03D-3D41-4F97-B3EA-0C0E155B0664}"/>
    <cellStyle name="Comma 7" xfId="18" xr:uid="{32850E79-7603-401F-8724-E4A33BC970DD}"/>
    <cellStyle name="Currency" xfId="21" builtinId="4"/>
    <cellStyle name="Currency 2" xfId="25" xr:uid="{F8435AC8-85F6-4618-87F5-5D1DBB3C7DE3}"/>
    <cellStyle name="Hyperlink 2" xfId="14" xr:uid="{283C0FFA-75AE-42F9-9849-FA5201872E6A}"/>
    <cellStyle name="Normal" xfId="0" builtinId="0"/>
    <cellStyle name="Normal 10" xfId="2" xr:uid="{7D42182D-1321-4BDA-8003-E629A69A5316}"/>
    <cellStyle name="Normal 11 2" xfId="1" xr:uid="{EAB56B39-ED53-477C-B0F7-1F3A6B6F2E08}"/>
    <cellStyle name="Normal 2" xfId="4" xr:uid="{A152F4D8-FCD7-42D0-8ADA-2E15BE7F70C4}"/>
    <cellStyle name="Normal 2 10" xfId="6" xr:uid="{81FB26D1-F6B5-48C6-97D8-593FC8517191}"/>
    <cellStyle name="Normal 2 2" xfId="11" xr:uid="{F5482CA4-7D0B-4906-BAE9-5A7649EC6B4D}"/>
    <cellStyle name="Normal 2 2 2" xfId="27" xr:uid="{DE01AC22-9525-4B79-B1D9-6DDB7D2213A4}"/>
    <cellStyle name="Normal 2 3" xfId="28" xr:uid="{B4AA9107-74B9-454D-A4E5-517B2F06A5C4}"/>
    <cellStyle name="Normal 3" xfId="10" xr:uid="{1F08B8F1-C5F6-408F-9C3E-754BD7D2F31E}"/>
    <cellStyle name="Normal 3 2" xfId="16" xr:uid="{908F248A-4361-4025-A698-6ADB4F7A4BF3}"/>
    <cellStyle name="Normal 4" xfId="29" xr:uid="{8AE0386E-F038-4F83-8E83-7D2F8A8AF4C3}"/>
    <cellStyle name="Normal 4 2" xfId="30" xr:uid="{F1E36F4D-47BE-43FC-9887-76A6618EFB90}"/>
    <cellStyle name="Normal 6" xfId="17" xr:uid="{F6CE3F1E-20CA-4E88-882E-F3F5F1381725}"/>
    <cellStyle name="Normal 8" xfId="19" xr:uid="{778FAAFD-6CDB-435A-87A2-86E3F853F0A2}"/>
    <cellStyle name="Percent" xfId="22" builtinId="5"/>
    <cellStyle name="Percent 2" xfId="15" xr:uid="{15DD4E9D-274D-4FDC-8522-43FDA4CDB212}"/>
    <cellStyle name="Percent 3" xfId="26" xr:uid="{A6C6268B-A62C-484F-8962-9F1AE720E8C3}"/>
    <cellStyle name="Обычный 2" xfId="12" xr:uid="{0838DEBA-1CAB-43ED-8898-ED84918861CF}"/>
    <cellStyle name="Обычный 2 2" xfId="24" xr:uid="{847ECF96-A8E3-4473-B75B-F2C8D299A6E5}"/>
    <cellStyle name="Обычный_Лист1" xfId="5" xr:uid="{C9AAD1CB-20EA-4E10-93E2-5E96150E04EA}"/>
    <cellStyle name="Процентный 2" xfId="9" xr:uid="{329848EA-E0D4-43D8-8C97-275373063CEB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642257</xdr:colOff>
      <xdr:row>2</xdr:row>
      <xdr:rowOff>89807</xdr:rowOff>
    </xdr:from>
    <xdr:to>
      <xdr:col>10</xdr:col>
      <xdr:colOff>5442</xdr:colOff>
      <xdr:row>4</xdr:row>
      <xdr:rowOff>146884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A95F85E-EB26-4761-87BF-CBF0B9DC5A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34734" b="35294"/>
        <a:stretch/>
      </xdr:blipFill>
      <xdr:spPr>
        <a:xfrm>
          <a:off x="10395857" y="1004207"/>
          <a:ext cx="4618264" cy="949706"/>
        </a:xfrm>
        <a:prstGeom prst="rect">
          <a:avLst/>
        </a:prstGeom>
      </xdr:spPr>
    </xdr:pic>
    <xdr:clientData/>
  </xdr:twoCellAnchor>
  <xdr:oneCellAnchor>
    <xdr:from>
      <xdr:col>6</xdr:col>
      <xdr:colOff>1236708</xdr:colOff>
      <xdr:row>15</xdr:row>
      <xdr:rowOff>0</xdr:rowOff>
    </xdr:from>
    <xdr:ext cx="39123" cy="179279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229025E-2614-418C-8B31-8EF54FCC9976}"/>
            </a:ext>
          </a:extLst>
        </xdr:cNvPr>
        <xdr:cNvSpPr txBox="1"/>
      </xdr:nvSpPr>
      <xdr:spPr>
        <a:xfrm>
          <a:off x="10780758" y="4848225"/>
          <a:ext cx="39123" cy="17927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0FF6A-F147-4B91-ADFF-E5CF5C4BFAB1}">
  <sheetPr>
    <pageSetUpPr fitToPage="1"/>
  </sheetPr>
  <dimension ref="A1:AH17"/>
  <sheetViews>
    <sheetView tabSelected="1" zoomScaleNormal="100" zoomScaleSheetLayoutView="100" workbookViewId="0">
      <selection activeCell="A4" sqref="A4:C4"/>
    </sheetView>
  </sheetViews>
  <sheetFormatPr defaultColWidth="9.81640625" defaultRowHeight="14.5"/>
  <cols>
    <col min="1" max="1" width="7.453125" style="117" customWidth="1"/>
    <col min="2" max="2" width="58" style="117" customWidth="1"/>
    <col min="3" max="3" width="32.54296875" style="117" customWidth="1"/>
    <col min="4" max="4" width="31.54296875" style="117" customWidth="1"/>
    <col min="5" max="5" width="16.453125" style="117" customWidth="1"/>
    <col min="6" max="6" width="19.26953125" style="117" customWidth="1"/>
    <col min="7" max="254" width="9.81640625" style="117"/>
    <col min="255" max="255" width="19.453125" style="117" customWidth="1"/>
    <col min="256" max="256" width="63" style="117" customWidth="1"/>
    <col min="257" max="257" width="27.54296875" style="117" customWidth="1"/>
    <col min="258" max="258" width="27" style="117" customWidth="1"/>
    <col min="259" max="510" width="9.81640625" style="117"/>
    <col min="511" max="511" width="19.453125" style="117" customWidth="1"/>
    <col min="512" max="512" width="63" style="117" customWidth="1"/>
    <col min="513" max="513" width="27.54296875" style="117" customWidth="1"/>
    <col min="514" max="514" width="27" style="117" customWidth="1"/>
    <col min="515" max="766" width="9.81640625" style="117"/>
    <col min="767" max="767" width="19.453125" style="117" customWidth="1"/>
    <col min="768" max="768" width="63" style="117" customWidth="1"/>
    <col min="769" max="769" width="27.54296875" style="117" customWidth="1"/>
    <col min="770" max="770" width="27" style="117" customWidth="1"/>
    <col min="771" max="1022" width="9.81640625" style="117"/>
    <col min="1023" max="1023" width="19.453125" style="117" customWidth="1"/>
    <col min="1024" max="1024" width="63" style="117" customWidth="1"/>
    <col min="1025" max="1025" width="27.54296875" style="117" customWidth="1"/>
    <col min="1026" max="1026" width="27" style="117" customWidth="1"/>
    <col min="1027" max="1278" width="9.81640625" style="117"/>
    <col min="1279" max="1279" width="19.453125" style="117" customWidth="1"/>
    <col min="1280" max="1280" width="63" style="117" customWidth="1"/>
    <col min="1281" max="1281" width="27.54296875" style="117" customWidth="1"/>
    <col min="1282" max="1282" width="27" style="117" customWidth="1"/>
    <col min="1283" max="1534" width="9.81640625" style="117"/>
    <col min="1535" max="1535" width="19.453125" style="117" customWidth="1"/>
    <col min="1536" max="1536" width="63" style="117" customWidth="1"/>
    <col min="1537" max="1537" width="27.54296875" style="117" customWidth="1"/>
    <col min="1538" max="1538" width="27" style="117" customWidth="1"/>
    <col min="1539" max="1790" width="9.81640625" style="117"/>
    <col min="1791" max="1791" width="19.453125" style="117" customWidth="1"/>
    <col min="1792" max="1792" width="63" style="117" customWidth="1"/>
    <col min="1793" max="1793" width="27.54296875" style="117" customWidth="1"/>
    <col min="1794" max="1794" width="27" style="117" customWidth="1"/>
    <col min="1795" max="2046" width="9.81640625" style="117"/>
    <col min="2047" max="2047" width="19.453125" style="117" customWidth="1"/>
    <col min="2048" max="2048" width="63" style="117" customWidth="1"/>
    <col min="2049" max="2049" width="27.54296875" style="117" customWidth="1"/>
    <col min="2050" max="2050" width="27" style="117" customWidth="1"/>
    <col min="2051" max="2302" width="9.81640625" style="117"/>
    <col min="2303" max="2303" width="19.453125" style="117" customWidth="1"/>
    <col min="2304" max="2304" width="63" style="117" customWidth="1"/>
    <col min="2305" max="2305" width="27.54296875" style="117" customWidth="1"/>
    <col min="2306" max="2306" width="27" style="117" customWidth="1"/>
    <col min="2307" max="2558" width="9.81640625" style="117"/>
    <col min="2559" max="2559" width="19.453125" style="117" customWidth="1"/>
    <col min="2560" max="2560" width="63" style="117" customWidth="1"/>
    <col min="2561" max="2561" width="27.54296875" style="117" customWidth="1"/>
    <col min="2562" max="2562" width="27" style="117" customWidth="1"/>
    <col min="2563" max="2814" width="9.81640625" style="117"/>
    <col min="2815" max="2815" width="19.453125" style="117" customWidth="1"/>
    <col min="2816" max="2816" width="63" style="117" customWidth="1"/>
    <col min="2817" max="2817" width="27.54296875" style="117" customWidth="1"/>
    <col min="2818" max="2818" width="27" style="117" customWidth="1"/>
    <col min="2819" max="3070" width="9.81640625" style="117"/>
    <col min="3071" max="3071" width="19.453125" style="117" customWidth="1"/>
    <col min="3072" max="3072" width="63" style="117" customWidth="1"/>
    <col min="3073" max="3073" width="27.54296875" style="117" customWidth="1"/>
    <col min="3074" max="3074" width="27" style="117" customWidth="1"/>
    <col min="3075" max="3326" width="9.81640625" style="117"/>
    <col min="3327" max="3327" width="19.453125" style="117" customWidth="1"/>
    <col min="3328" max="3328" width="63" style="117" customWidth="1"/>
    <col min="3329" max="3329" width="27.54296875" style="117" customWidth="1"/>
    <col min="3330" max="3330" width="27" style="117" customWidth="1"/>
    <col min="3331" max="3582" width="9.81640625" style="117"/>
    <col min="3583" max="3583" width="19.453125" style="117" customWidth="1"/>
    <col min="3584" max="3584" width="63" style="117" customWidth="1"/>
    <col min="3585" max="3585" width="27.54296875" style="117" customWidth="1"/>
    <col min="3586" max="3586" width="27" style="117" customWidth="1"/>
    <col min="3587" max="3838" width="9.81640625" style="117"/>
    <col min="3839" max="3839" width="19.453125" style="117" customWidth="1"/>
    <col min="3840" max="3840" width="63" style="117" customWidth="1"/>
    <col min="3841" max="3841" width="27.54296875" style="117" customWidth="1"/>
    <col min="3842" max="3842" width="27" style="117" customWidth="1"/>
    <col min="3843" max="4094" width="9.81640625" style="117"/>
    <col min="4095" max="4095" width="19.453125" style="117" customWidth="1"/>
    <col min="4096" max="4096" width="63" style="117" customWidth="1"/>
    <col min="4097" max="4097" width="27.54296875" style="117" customWidth="1"/>
    <col min="4098" max="4098" width="27" style="117" customWidth="1"/>
    <col min="4099" max="4350" width="9.81640625" style="117"/>
    <col min="4351" max="4351" width="19.453125" style="117" customWidth="1"/>
    <col min="4352" max="4352" width="63" style="117" customWidth="1"/>
    <col min="4353" max="4353" width="27.54296875" style="117" customWidth="1"/>
    <col min="4354" max="4354" width="27" style="117" customWidth="1"/>
    <col min="4355" max="4606" width="9.81640625" style="117"/>
    <col min="4607" max="4607" width="19.453125" style="117" customWidth="1"/>
    <col min="4608" max="4608" width="63" style="117" customWidth="1"/>
    <col min="4609" max="4609" width="27.54296875" style="117" customWidth="1"/>
    <col min="4610" max="4610" width="27" style="117" customWidth="1"/>
    <col min="4611" max="4862" width="9.81640625" style="117"/>
    <col min="4863" max="4863" width="19.453125" style="117" customWidth="1"/>
    <col min="4864" max="4864" width="63" style="117" customWidth="1"/>
    <col min="4865" max="4865" width="27.54296875" style="117" customWidth="1"/>
    <col min="4866" max="4866" width="27" style="117" customWidth="1"/>
    <col min="4867" max="5118" width="9.81640625" style="117"/>
    <col min="5119" max="5119" width="19.453125" style="117" customWidth="1"/>
    <col min="5120" max="5120" width="63" style="117" customWidth="1"/>
    <col min="5121" max="5121" width="27.54296875" style="117" customWidth="1"/>
    <col min="5122" max="5122" width="27" style="117" customWidth="1"/>
    <col min="5123" max="5374" width="9.81640625" style="117"/>
    <col min="5375" max="5375" width="19.453125" style="117" customWidth="1"/>
    <col min="5376" max="5376" width="63" style="117" customWidth="1"/>
    <col min="5377" max="5377" width="27.54296875" style="117" customWidth="1"/>
    <col min="5378" max="5378" width="27" style="117" customWidth="1"/>
    <col min="5379" max="5630" width="9.81640625" style="117"/>
    <col min="5631" max="5631" width="19.453125" style="117" customWidth="1"/>
    <col min="5632" max="5632" width="63" style="117" customWidth="1"/>
    <col min="5633" max="5633" width="27.54296875" style="117" customWidth="1"/>
    <col min="5634" max="5634" width="27" style="117" customWidth="1"/>
    <col min="5635" max="5886" width="9.81640625" style="117"/>
    <col min="5887" max="5887" width="19.453125" style="117" customWidth="1"/>
    <col min="5888" max="5888" width="63" style="117" customWidth="1"/>
    <col min="5889" max="5889" width="27.54296875" style="117" customWidth="1"/>
    <col min="5890" max="5890" width="27" style="117" customWidth="1"/>
    <col min="5891" max="6142" width="9.81640625" style="117"/>
    <col min="6143" max="6143" width="19.453125" style="117" customWidth="1"/>
    <col min="6144" max="6144" width="63" style="117" customWidth="1"/>
    <col min="6145" max="6145" width="27.54296875" style="117" customWidth="1"/>
    <col min="6146" max="6146" width="27" style="117" customWidth="1"/>
    <col min="6147" max="6398" width="9.81640625" style="117"/>
    <col min="6399" max="6399" width="19.453125" style="117" customWidth="1"/>
    <col min="6400" max="6400" width="63" style="117" customWidth="1"/>
    <col min="6401" max="6401" width="27.54296875" style="117" customWidth="1"/>
    <col min="6402" max="6402" width="27" style="117" customWidth="1"/>
    <col min="6403" max="6654" width="9.81640625" style="117"/>
    <col min="6655" max="6655" width="19.453125" style="117" customWidth="1"/>
    <col min="6656" max="6656" width="63" style="117" customWidth="1"/>
    <col min="6657" max="6657" width="27.54296875" style="117" customWidth="1"/>
    <col min="6658" max="6658" width="27" style="117" customWidth="1"/>
    <col min="6659" max="6910" width="9.81640625" style="117"/>
    <col min="6911" max="6911" width="19.453125" style="117" customWidth="1"/>
    <col min="6912" max="6912" width="63" style="117" customWidth="1"/>
    <col min="6913" max="6913" width="27.54296875" style="117" customWidth="1"/>
    <col min="6914" max="6914" width="27" style="117" customWidth="1"/>
    <col min="6915" max="7166" width="9.81640625" style="117"/>
    <col min="7167" max="7167" width="19.453125" style="117" customWidth="1"/>
    <col min="7168" max="7168" width="63" style="117" customWidth="1"/>
    <col min="7169" max="7169" width="27.54296875" style="117" customWidth="1"/>
    <col min="7170" max="7170" width="27" style="117" customWidth="1"/>
    <col min="7171" max="7422" width="9.81640625" style="117"/>
    <col min="7423" max="7423" width="19.453125" style="117" customWidth="1"/>
    <col min="7424" max="7424" width="63" style="117" customWidth="1"/>
    <col min="7425" max="7425" width="27.54296875" style="117" customWidth="1"/>
    <col min="7426" max="7426" width="27" style="117" customWidth="1"/>
    <col min="7427" max="7678" width="9.81640625" style="117"/>
    <col min="7679" max="7679" width="19.453125" style="117" customWidth="1"/>
    <col min="7680" max="7680" width="63" style="117" customWidth="1"/>
    <col min="7681" max="7681" width="27.54296875" style="117" customWidth="1"/>
    <col min="7682" max="7682" width="27" style="117" customWidth="1"/>
    <col min="7683" max="7934" width="9.81640625" style="117"/>
    <col min="7935" max="7935" width="19.453125" style="117" customWidth="1"/>
    <col min="7936" max="7936" width="63" style="117" customWidth="1"/>
    <col min="7937" max="7937" width="27.54296875" style="117" customWidth="1"/>
    <col min="7938" max="7938" width="27" style="117" customWidth="1"/>
    <col min="7939" max="8190" width="9.81640625" style="117"/>
    <col min="8191" max="8191" width="19.453125" style="117" customWidth="1"/>
    <col min="8192" max="8192" width="63" style="117" customWidth="1"/>
    <col min="8193" max="8193" width="27.54296875" style="117" customWidth="1"/>
    <col min="8194" max="8194" width="27" style="117" customWidth="1"/>
    <col min="8195" max="8446" width="9.81640625" style="117"/>
    <col min="8447" max="8447" width="19.453125" style="117" customWidth="1"/>
    <col min="8448" max="8448" width="63" style="117" customWidth="1"/>
    <col min="8449" max="8449" width="27.54296875" style="117" customWidth="1"/>
    <col min="8450" max="8450" width="27" style="117" customWidth="1"/>
    <col min="8451" max="8702" width="9.81640625" style="117"/>
    <col min="8703" max="8703" width="19.453125" style="117" customWidth="1"/>
    <col min="8704" max="8704" width="63" style="117" customWidth="1"/>
    <col min="8705" max="8705" width="27.54296875" style="117" customWidth="1"/>
    <col min="8706" max="8706" width="27" style="117" customWidth="1"/>
    <col min="8707" max="8958" width="9.81640625" style="117"/>
    <col min="8959" max="8959" width="19.453125" style="117" customWidth="1"/>
    <col min="8960" max="8960" width="63" style="117" customWidth="1"/>
    <col min="8961" max="8961" width="27.54296875" style="117" customWidth="1"/>
    <col min="8962" max="8962" width="27" style="117" customWidth="1"/>
    <col min="8963" max="9214" width="9.81640625" style="117"/>
    <col min="9215" max="9215" width="19.453125" style="117" customWidth="1"/>
    <col min="9216" max="9216" width="63" style="117" customWidth="1"/>
    <col min="9217" max="9217" width="27.54296875" style="117" customWidth="1"/>
    <col min="9218" max="9218" width="27" style="117" customWidth="1"/>
    <col min="9219" max="9470" width="9.81640625" style="117"/>
    <col min="9471" max="9471" width="19.453125" style="117" customWidth="1"/>
    <col min="9472" max="9472" width="63" style="117" customWidth="1"/>
    <col min="9473" max="9473" width="27.54296875" style="117" customWidth="1"/>
    <col min="9474" max="9474" width="27" style="117" customWidth="1"/>
    <col min="9475" max="9726" width="9.81640625" style="117"/>
    <col min="9727" max="9727" width="19.453125" style="117" customWidth="1"/>
    <col min="9728" max="9728" width="63" style="117" customWidth="1"/>
    <col min="9729" max="9729" width="27.54296875" style="117" customWidth="1"/>
    <col min="9730" max="9730" width="27" style="117" customWidth="1"/>
    <col min="9731" max="9982" width="9.81640625" style="117"/>
    <col min="9983" max="9983" width="19.453125" style="117" customWidth="1"/>
    <col min="9984" max="9984" width="63" style="117" customWidth="1"/>
    <col min="9985" max="9985" width="27.54296875" style="117" customWidth="1"/>
    <col min="9986" max="9986" width="27" style="117" customWidth="1"/>
    <col min="9987" max="10238" width="9.81640625" style="117"/>
    <col min="10239" max="10239" width="19.453125" style="117" customWidth="1"/>
    <col min="10240" max="10240" width="63" style="117" customWidth="1"/>
    <col min="10241" max="10241" width="27.54296875" style="117" customWidth="1"/>
    <col min="10242" max="10242" width="27" style="117" customWidth="1"/>
    <col min="10243" max="10494" width="9.81640625" style="117"/>
    <col min="10495" max="10495" width="19.453125" style="117" customWidth="1"/>
    <col min="10496" max="10496" width="63" style="117" customWidth="1"/>
    <col min="10497" max="10497" width="27.54296875" style="117" customWidth="1"/>
    <col min="10498" max="10498" width="27" style="117" customWidth="1"/>
    <col min="10499" max="10750" width="9.81640625" style="117"/>
    <col min="10751" max="10751" width="19.453125" style="117" customWidth="1"/>
    <col min="10752" max="10752" width="63" style="117" customWidth="1"/>
    <col min="10753" max="10753" width="27.54296875" style="117" customWidth="1"/>
    <col min="10754" max="10754" width="27" style="117" customWidth="1"/>
    <col min="10755" max="11006" width="9.81640625" style="117"/>
    <col min="11007" max="11007" width="19.453125" style="117" customWidth="1"/>
    <col min="11008" max="11008" width="63" style="117" customWidth="1"/>
    <col min="11009" max="11009" width="27.54296875" style="117" customWidth="1"/>
    <col min="11010" max="11010" width="27" style="117" customWidth="1"/>
    <col min="11011" max="11262" width="9.81640625" style="117"/>
    <col min="11263" max="11263" width="19.453125" style="117" customWidth="1"/>
    <col min="11264" max="11264" width="63" style="117" customWidth="1"/>
    <col min="11265" max="11265" width="27.54296875" style="117" customWidth="1"/>
    <col min="11266" max="11266" width="27" style="117" customWidth="1"/>
    <col min="11267" max="11518" width="9.81640625" style="117"/>
    <col min="11519" max="11519" width="19.453125" style="117" customWidth="1"/>
    <col min="11520" max="11520" width="63" style="117" customWidth="1"/>
    <col min="11521" max="11521" width="27.54296875" style="117" customWidth="1"/>
    <col min="11522" max="11522" width="27" style="117" customWidth="1"/>
    <col min="11523" max="11774" width="9.81640625" style="117"/>
    <col min="11775" max="11775" width="19.453125" style="117" customWidth="1"/>
    <col min="11776" max="11776" width="63" style="117" customWidth="1"/>
    <col min="11777" max="11777" width="27.54296875" style="117" customWidth="1"/>
    <col min="11778" max="11778" width="27" style="117" customWidth="1"/>
    <col min="11779" max="12030" width="9.81640625" style="117"/>
    <col min="12031" max="12031" width="19.453125" style="117" customWidth="1"/>
    <col min="12032" max="12032" width="63" style="117" customWidth="1"/>
    <col min="12033" max="12033" width="27.54296875" style="117" customWidth="1"/>
    <col min="12034" max="12034" width="27" style="117" customWidth="1"/>
    <col min="12035" max="12286" width="9.81640625" style="117"/>
    <col min="12287" max="12287" width="19.453125" style="117" customWidth="1"/>
    <col min="12288" max="12288" width="63" style="117" customWidth="1"/>
    <col min="12289" max="12289" width="27.54296875" style="117" customWidth="1"/>
    <col min="12290" max="12290" width="27" style="117" customWidth="1"/>
    <col min="12291" max="12542" width="9.81640625" style="117"/>
    <col min="12543" max="12543" width="19.453125" style="117" customWidth="1"/>
    <col min="12544" max="12544" width="63" style="117" customWidth="1"/>
    <col min="12545" max="12545" width="27.54296875" style="117" customWidth="1"/>
    <col min="12546" max="12546" width="27" style="117" customWidth="1"/>
    <col min="12547" max="12798" width="9.81640625" style="117"/>
    <col min="12799" max="12799" width="19.453125" style="117" customWidth="1"/>
    <col min="12800" max="12800" width="63" style="117" customWidth="1"/>
    <col min="12801" max="12801" width="27.54296875" style="117" customWidth="1"/>
    <col min="12802" max="12802" width="27" style="117" customWidth="1"/>
    <col min="12803" max="13054" width="9.81640625" style="117"/>
    <col min="13055" max="13055" width="19.453125" style="117" customWidth="1"/>
    <col min="13056" max="13056" width="63" style="117" customWidth="1"/>
    <col min="13057" max="13057" width="27.54296875" style="117" customWidth="1"/>
    <col min="13058" max="13058" width="27" style="117" customWidth="1"/>
    <col min="13059" max="13310" width="9.81640625" style="117"/>
    <col min="13311" max="13311" width="19.453125" style="117" customWidth="1"/>
    <col min="13312" max="13312" width="63" style="117" customWidth="1"/>
    <col min="13313" max="13313" width="27.54296875" style="117" customWidth="1"/>
    <col min="13314" max="13314" width="27" style="117" customWidth="1"/>
    <col min="13315" max="13566" width="9.81640625" style="117"/>
    <col min="13567" max="13567" width="19.453125" style="117" customWidth="1"/>
    <col min="13568" max="13568" width="63" style="117" customWidth="1"/>
    <col min="13569" max="13569" width="27.54296875" style="117" customWidth="1"/>
    <col min="13570" max="13570" width="27" style="117" customWidth="1"/>
    <col min="13571" max="13822" width="9.81640625" style="117"/>
    <col min="13823" max="13823" width="19.453125" style="117" customWidth="1"/>
    <col min="13824" max="13824" width="63" style="117" customWidth="1"/>
    <col min="13825" max="13825" width="27.54296875" style="117" customWidth="1"/>
    <col min="13826" max="13826" width="27" style="117" customWidth="1"/>
    <col min="13827" max="14078" width="9.81640625" style="117"/>
    <col min="14079" max="14079" width="19.453125" style="117" customWidth="1"/>
    <col min="14080" max="14080" width="63" style="117" customWidth="1"/>
    <col min="14081" max="14081" width="27.54296875" style="117" customWidth="1"/>
    <col min="14082" max="14082" width="27" style="117" customWidth="1"/>
    <col min="14083" max="14334" width="9.81640625" style="117"/>
    <col min="14335" max="14335" width="19.453125" style="117" customWidth="1"/>
    <col min="14336" max="14336" width="63" style="117" customWidth="1"/>
    <col min="14337" max="14337" width="27.54296875" style="117" customWidth="1"/>
    <col min="14338" max="14338" width="27" style="117" customWidth="1"/>
    <col min="14339" max="14590" width="9.81640625" style="117"/>
    <col min="14591" max="14591" width="19.453125" style="117" customWidth="1"/>
    <col min="14592" max="14592" width="63" style="117" customWidth="1"/>
    <col min="14593" max="14593" width="27.54296875" style="117" customWidth="1"/>
    <col min="14594" max="14594" width="27" style="117" customWidth="1"/>
    <col min="14595" max="14846" width="9.81640625" style="117"/>
    <col min="14847" max="14847" width="19.453125" style="117" customWidth="1"/>
    <col min="14848" max="14848" width="63" style="117" customWidth="1"/>
    <col min="14849" max="14849" width="27.54296875" style="117" customWidth="1"/>
    <col min="14850" max="14850" width="27" style="117" customWidth="1"/>
    <col min="14851" max="15102" width="9.81640625" style="117"/>
    <col min="15103" max="15103" width="19.453125" style="117" customWidth="1"/>
    <col min="15104" max="15104" width="63" style="117" customWidth="1"/>
    <col min="15105" max="15105" width="27.54296875" style="117" customWidth="1"/>
    <col min="15106" max="15106" width="27" style="117" customWidth="1"/>
    <col min="15107" max="15358" width="9.81640625" style="117"/>
    <col min="15359" max="15359" width="19.453125" style="117" customWidth="1"/>
    <col min="15360" max="15360" width="63" style="117" customWidth="1"/>
    <col min="15361" max="15361" width="27.54296875" style="117" customWidth="1"/>
    <col min="15362" max="15362" width="27" style="117" customWidth="1"/>
    <col min="15363" max="15614" width="9.81640625" style="117"/>
    <col min="15615" max="15615" width="19.453125" style="117" customWidth="1"/>
    <col min="15616" max="15616" width="63" style="117" customWidth="1"/>
    <col min="15617" max="15617" width="27.54296875" style="117" customWidth="1"/>
    <col min="15618" max="15618" width="27" style="117" customWidth="1"/>
    <col min="15619" max="15870" width="9.81640625" style="117"/>
    <col min="15871" max="15871" width="19.453125" style="117" customWidth="1"/>
    <col min="15872" max="15872" width="63" style="117" customWidth="1"/>
    <col min="15873" max="15873" width="27.54296875" style="117" customWidth="1"/>
    <col min="15874" max="15874" width="27" style="117" customWidth="1"/>
    <col min="15875" max="16126" width="9.81640625" style="117"/>
    <col min="16127" max="16127" width="19.453125" style="117" customWidth="1"/>
    <col min="16128" max="16128" width="63" style="117" customWidth="1"/>
    <col min="16129" max="16129" width="27.54296875" style="117" customWidth="1"/>
    <col min="16130" max="16130" width="27" style="117" customWidth="1"/>
    <col min="16131" max="16384" width="9.81640625" style="117"/>
  </cols>
  <sheetData>
    <row r="1" spans="1:34" s="269" customFormat="1" ht="27.65" customHeight="1">
      <c r="A1" s="472"/>
      <c r="B1" s="472"/>
      <c r="C1" s="472"/>
    </row>
    <row r="2" spans="1:34" s="269" customFormat="1" ht="27.65" customHeight="1">
      <c r="A2" s="473" t="s">
        <v>180</v>
      </c>
      <c r="B2" s="473"/>
      <c r="C2" s="473"/>
    </row>
    <row r="3" spans="1:34" s="269" customFormat="1" ht="27.65" customHeight="1">
      <c r="A3" s="473" t="s">
        <v>165</v>
      </c>
      <c r="B3" s="473"/>
      <c r="C3" s="473"/>
    </row>
    <row r="4" spans="1:34" ht="52.5" customHeight="1">
      <c r="A4" s="474" t="s">
        <v>166</v>
      </c>
      <c r="B4" s="474"/>
      <c r="C4" s="474"/>
      <c r="D4" s="270"/>
    </row>
    <row r="5" spans="1:34" ht="52.5" customHeight="1" thickBot="1">
      <c r="A5" s="271"/>
      <c r="B5" s="271"/>
      <c r="C5" s="271"/>
      <c r="D5" s="270"/>
    </row>
    <row r="6" spans="1:34" ht="41.25" customHeight="1" thickBot="1">
      <c r="A6" s="272" t="s">
        <v>0</v>
      </c>
      <c r="B6" s="273" t="s">
        <v>167</v>
      </c>
      <c r="C6" s="274" t="s">
        <v>168</v>
      </c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</row>
    <row r="7" spans="1:34" ht="30.4" customHeight="1" thickBot="1">
      <c r="A7" s="357">
        <v>1</v>
      </c>
      <c r="B7" s="358" t="s">
        <v>179</v>
      </c>
      <c r="C7" s="447">
        <f>'gare ter.'!L149</f>
        <v>0</v>
      </c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</row>
    <row r="8" spans="1:34" ht="30.4" customHeight="1" thickBot="1">
      <c r="A8" s="119">
        <v>2</v>
      </c>
      <c r="B8" s="276" t="s">
        <v>181</v>
      </c>
      <c r="C8" s="448">
        <f>'tboqseli-betoni'!L121</f>
        <v>0</v>
      </c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</row>
    <row r="9" spans="1:34" s="279" customFormat="1" ht="30.4" customHeight="1" thickBot="1">
      <c r="A9" s="277">
        <f>A8+1</f>
        <v>3</v>
      </c>
      <c r="B9" s="278" t="s">
        <v>195</v>
      </c>
      <c r="C9" s="449">
        <f>სანიაღვრე!J59</f>
        <v>0</v>
      </c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  <c r="AD9" s="275"/>
      <c r="AE9" s="275"/>
      <c r="AF9" s="275"/>
      <c r="AG9" s="275"/>
      <c r="AH9" s="275"/>
    </row>
    <row r="10" spans="1:34" s="279" customFormat="1" ht="30.4" customHeight="1" thickBot="1">
      <c r="A10" s="277">
        <f>A9+1</f>
        <v>4</v>
      </c>
      <c r="B10" s="278" t="s">
        <v>194</v>
      </c>
      <c r="C10" s="449">
        <f>'სარწყავი სისტემის მოწყობა'!I41</f>
        <v>0</v>
      </c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275"/>
      <c r="W10" s="275"/>
      <c r="X10" s="275"/>
      <c r="Y10" s="275"/>
      <c r="Z10" s="275"/>
      <c r="AA10" s="275"/>
      <c r="AB10" s="275"/>
      <c r="AC10" s="275"/>
      <c r="AD10" s="275"/>
      <c r="AE10" s="275"/>
      <c r="AF10" s="275"/>
      <c r="AG10" s="275"/>
      <c r="AH10" s="275"/>
    </row>
    <row r="11" spans="1:34" ht="30.4" customHeight="1" thickBot="1">
      <c r="A11" s="119"/>
      <c r="B11" s="280" t="s">
        <v>169</v>
      </c>
      <c r="C11" s="281">
        <f>C9+C8+C7+C10</f>
        <v>0</v>
      </c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  <c r="V11" s="275"/>
      <c r="W11" s="275"/>
      <c r="X11" s="275"/>
      <c r="Y11" s="275"/>
      <c r="Z11" s="275"/>
      <c r="AA11" s="275"/>
      <c r="AB11" s="275"/>
      <c r="AC11" s="275"/>
      <c r="AD11" s="275"/>
      <c r="AE11" s="275"/>
      <c r="AF11" s="275"/>
      <c r="AG11" s="275"/>
      <c r="AH11" s="275"/>
    </row>
    <row r="12" spans="1:34" ht="25.15" customHeight="1">
      <c r="F12" s="282"/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275"/>
      <c r="Y12" s="275"/>
      <c r="Z12" s="275"/>
      <c r="AA12" s="275"/>
      <c r="AB12" s="275"/>
      <c r="AC12" s="275"/>
      <c r="AD12" s="275"/>
      <c r="AE12" s="275"/>
      <c r="AF12" s="275"/>
      <c r="AG12" s="275"/>
      <c r="AH12" s="275"/>
    </row>
    <row r="13" spans="1:34" ht="25.15" customHeight="1"/>
    <row r="14" spans="1:34" ht="25.5" customHeight="1">
      <c r="A14" s="283"/>
      <c r="B14" s="284"/>
      <c r="C14" s="284"/>
      <c r="E14" s="285"/>
      <c r="F14" s="116"/>
      <c r="G14" s="286"/>
      <c r="I14" s="116"/>
    </row>
    <row r="15" spans="1:34" ht="25.5" customHeight="1">
      <c r="A15" s="283"/>
      <c r="B15" s="284"/>
      <c r="C15" s="116"/>
      <c r="D15" s="116"/>
      <c r="E15" s="287"/>
    </row>
    <row r="16" spans="1:34" ht="25.5" customHeight="1">
      <c r="A16" s="283"/>
      <c r="B16" s="284"/>
      <c r="C16" s="116"/>
      <c r="D16" s="116"/>
      <c r="E16" s="287"/>
    </row>
    <row r="17" spans="1:8" ht="25.5" customHeight="1">
      <c r="A17" s="283"/>
      <c r="B17" s="284"/>
      <c r="C17" s="284"/>
      <c r="E17" s="287"/>
      <c r="H17" s="288"/>
    </row>
  </sheetData>
  <mergeCells count="4">
    <mergeCell ref="A1:C1"/>
    <mergeCell ref="A2:C2"/>
    <mergeCell ref="A3:C3"/>
    <mergeCell ref="A4:C4"/>
  </mergeCells>
  <printOptions horizontalCentered="1"/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F9ECB-FF3F-4BD9-B6BC-EADBF074683F}">
  <sheetPr>
    <tabColor rgb="FFFFC000"/>
  </sheetPr>
  <dimension ref="A1:R741"/>
  <sheetViews>
    <sheetView zoomScale="51" zoomScaleNormal="51" zoomScaleSheetLayoutView="39" workbookViewId="0">
      <selection activeCell="C148" sqref="C148"/>
    </sheetView>
  </sheetViews>
  <sheetFormatPr defaultRowHeight="14"/>
  <cols>
    <col min="1" max="1" width="12.7265625" style="38" customWidth="1"/>
    <col min="2" max="2" width="63.1796875" style="14" customWidth="1"/>
    <col min="3" max="3" width="19.26953125" style="16" customWidth="1"/>
    <col min="4" max="4" width="15.7265625" style="54" customWidth="1"/>
    <col min="5" max="5" width="15.7265625" style="107" customWidth="1"/>
    <col min="6" max="6" width="11.1796875" style="100" bestFit="1" customWidth="1"/>
    <col min="7" max="7" width="12.81640625" style="100" bestFit="1" customWidth="1"/>
    <col min="8" max="8" width="12.26953125" style="100" customWidth="1"/>
    <col min="9" max="9" width="12.81640625" style="100" bestFit="1" customWidth="1"/>
    <col min="10" max="11" width="12.26953125" style="100" customWidth="1"/>
    <col min="12" max="12" width="15" style="99" bestFit="1" customWidth="1"/>
    <col min="13" max="13" width="12.81640625" style="450" customWidth="1"/>
    <col min="14" max="14" width="63.26953125" style="14" customWidth="1"/>
    <col min="15" max="15" width="9.1796875" style="14"/>
    <col min="16" max="17" width="11.54296875" style="14" bestFit="1" customWidth="1"/>
    <col min="18" max="255" width="9.1796875" style="14"/>
    <col min="256" max="256" width="3.81640625" style="14" customWidth="1"/>
    <col min="257" max="257" width="10.54296875" style="14" customWidth="1"/>
    <col min="258" max="258" width="54.1796875" style="14" customWidth="1"/>
    <col min="259" max="259" width="7.81640625" style="14" customWidth="1"/>
    <col min="260" max="260" width="7.7265625" style="14" customWidth="1"/>
    <col min="261" max="261" width="8.7265625" style="14" bestFit="1" customWidth="1"/>
    <col min="262" max="262" width="10.26953125" style="14" bestFit="1" customWidth="1"/>
    <col min="263" max="263" width="11" style="14" customWidth="1"/>
    <col min="264" max="264" width="8.81640625" style="14" customWidth="1"/>
    <col min="265" max="265" width="10.81640625" style="14" customWidth="1"/>
    <col min="266" max="266" width="8.81640625" style="14" customWidth="1"/>
    <col min="267" max="267" width="10.54296875" style="14" customWidth="1"/>
    <col min="268" max="268" width="13.7265625" style="14" customWidth="1"/>
    <col min="269" max="269" width="12.81640625" style="14" customWidth="1"/>
    <col min="270" max="270" width="31.453125" style="14" customWidth="1"/>
    <col min="271" max="511" width="9.1796875" style="14"/>
    <col min="512" max="512" width="3.81640625" style="14" customWidth="1"/>
    <col min="513" max="513" width="10.54296875" style="14" customWidth="1"/>
    <col min="514" max="514" width="54.1796875" style="14" customWidth="1"/>
    <col min="515" max="515" width="7.81640625" style="14" customWidth="1"/>
    <col min="516" max="516" width="7.7265625" style="14" customWidth="1"/>
    <col min="517" max="517" width="8.7265625" style="14" bestFit="1" customWidth="1"/>
    <col min="518" max="518" width="10.26953125" style="14" bestFit="1" customWidth="1"/>
    <col min="519" max="519" width="11" style="14" customWidth="1"/>
    <col min="520" max="520" width="8.81640625" style="14" customWidth="1"/>
    <col min="521" max="521" width="10.81640625" style="14" customWidth="1"/>
    <col min="522" max="522" width="8.81640625" style="14" customWidth="1"/>
    <col min="523" max="523" width="10.54296875" style="14" customWidth="1"/>
    <col min="524" max="524" width="13.7265625" style="14" customWidth="1"/>
    <col min="525" max="525" width="12.81640625" style="14" customWidth="1"/>
    <col min="526" max="526" width="31.453125" style="14" customWidth="1"/>
    <col min="527" max="767" width="9.1796875" style="14"/>
    <col min="768" max="768" width="3.81640625" style="14" customWidth="1"/>
    <col min="769" max="769" width="10.54296875" style="14" customWidth="1"/>
    <col min="770" max="770" width="54.1796875" style="14" customWidth="1"/>
    <col min="771" max="771" width="7.81640625" style="14" customWidth="1"/>
    <col min="772" max="772" width="7.7265625" style="14" customWidth="1"/>
    <col min="773" max="773" width="8.7265625" style="14" bestFit="1" customWidth="1"/>
    <col min="774" max="774" width="10.26953125" style="14" bestFit="1" customWidth="1"/>
    <col min="775" max="775" width="11" style="14" customWidth="1"/>
    <col min="776" max="776" width="8.81640625" style="14" customWidth="1"/>
    <col min="777" max="777" width="10.81640625" style="14" customWidth="1"/>
    <col min="778" max="778" width="8.81640625" style="14" customWidth="1"/>
    <col min="779" max="779" width="10.54296875" style="14" customWidth="1"/>
    <col min="780" max="780" width="13.7265625" style="14" customWidth="1"/>
    <col min="781" max="781" width="12.81640625" style="14" customWidth="1"/>
    <col min="782" max="782" width="31.453125" style="14" customWidth="1"/>
    <col min="783" max="1023" width="9.1796875" style="14"/>
    <col min="1024" max="1024" width="3.81640625" style="14" customWidth="1"/>
    <col min="1025" max="1025" width="10.54296875" style="14" customWidth="1"/>
    <col min="1026" max="1026" width="54.1796875" style="14" customWidth="1"/>
    <col min="1027" max="1027" width="7.81640625" style="14" customWidth="1"/>
    <col min="1028" max="1028" width="7.7265625" style="14" customWidth="1"/>
    <col min="1029" max="1029" width="8.7265625" style="14" bestFit="1" customWidth="1"/>
    <col min="1030" max="1030" width="10.26953125" style="14" bestFit="1" customWidth="1"/>
    <col min="1031" max="1031" width="11" style="14" customWidth="1"/>
    <col min="1032" max="1032" width="8.81640625" style="14" customWidth="1"/>
    <col min="1033" max="1033" width="10.81640625" style="14" customWidth="1"/>
    <col min="1034" max="1034" width="8.81640625" style="14" customWidth="1"/>
    <col min="1035" max="1035" width="10.54296875" style="14" customWidth="1"/>
    <col min="1036" max="1036" width="13.7265625" style="14" customWidth="1"/>
    <col min="1037" max="1037" width="12.81640625" style="14" customWidth="1"/>
    <col min="1038" max="1038" width="31.453125" style="14" customWidth="1"/>
    <col min="1039" max="1279" width="9.1796875" style="14"/>
    <col min="1280" max="1280" width="3.81640625" style="14" customWidth="1"/>
    <col min="1281" max="1281" width="10.54296875" style="14" customWidth="1"/>
    <col min="1282" max="1282" width="54.1796875" style="14" customWidth="1"/>
    <col min="1283" max="1283" width="7.81640625" style="14" customWidth="1"/>
    <col min="1284" max="1284" width="7.7265625" style="14" customWidth="1"/>
    <col min="1285" max="1285" width="8.7265625" style="14" bestFit="1" customWidth="1"/>
    <col min="1286" max="1286" width="10.26953125" style="14" bestFit="1" customWidth="1"/>
    <col min="1287" max="1287" width="11" style="14" customWidth="1"/>
    <col min="1288" max="1288" width="8.81640625" style="14" customWidth="1"/>
    <col min="1289" max="1289" width="10.81640625" style="14" customWidth="1"/>
    <col min="1290" max="1290" width="8.81640625" style="14" customWidth="1"/>
    <col min="1291" max="1291" width="10.54296875" style="14" customWidth="1"/>
    <col min="1292" max="1292" width="13.7265625" style="14" customWidth="1"/>
    <col min="1293" max="1293" width="12.81640625" style="14" customWidth="1"/>
    <col min="1294" max="1294" width="31.453125" style="14" customWidth="1"/>
    <col min="1295" max="1535" width="9.1796875" style="14"/>
    <col min="1536" max="1536" width="3.81640625" style="14" customWidth="1"/>
    <col min="1537" max="1537" width="10.54296875" style="14" customWidth="1"/>
    <col min="1538" max="1538" width="54.1796875" style="14" customWidth="1"/>
    <col min="1539" max="1539" width="7.81640625" style="14" customWidth="1"/>
    <col min="1540" max="1540" width="7.7265625" style="14" customWidth="1"/>
    <col min="1541" max="1541" width="8.7265625" style="14" bestFit="1" customWidth="1"/>
    <col min="1542" max="1542" width="10.26953125" style="14" bestFit="1" customWidth="1"/>
    <col min="1543" max="1543" width="11" style="14" customWidth="1"/>
    <col min="1544" max="1544" width="8.81640625" style="14" customWidth="1"/>
    <col min="1545" max="1545" width="10.81640625" style="14" customWidth="1"/>
    <col min="1546" max="1546" width="8.81640625" style="14" customWidth="1"/>
    <col min="1547" max="1547" width="10.54296875" style="14" customWidth="1"/>
    <col min="1548" max="1548" width="13.7265625" style="14" customWidth="1"/>
    <col min="1549" max="1549" width="12.81640625" style="14" customWidth="1"/>
    <col min="1550" max="1550" width="31.453125" style="14" customWidth="1"/>
    <col min="1551" max="1791" width="9.1796875" style="14"/>
    <col min="1792" max="1792" width="3.81640625" style="14" customWidth="1"/>
    <col min="1793" max="1793" width="10.54296875" style="14" customWidth="1"/>
    <col min="1794" max="1794" width="54.1796875" style="14" customWidth="1"/>
    <col min="1795" max="1795" width="7.81640625" style="14" customWidth="1"/>
    <col min="1796" max="1796" width="7.7265625" style="14" customWidth="1"/>
    <col min="1797" max="1797" width="8.7265625" style="14" bestFit="1" customWidth="1"/>
    <col min="1798" max="1798" width="10.26953125" style="14" bestFit="1" customWidth="1"/>
    <col min="1799" max="1799" width="11" style="14" customWidth="1"/>
    <col min="1800" max="1800" width="8.81640625" style="14" customWidth="1"/>
    <col min="1801" max="1801" width="10.81640625" style="14" customWidth="1"/>
    <col min="1802" max="1802" width="8.81640625" style="14" customWidth="1"/>
    <col min="1803" max="1803" width="10.54296875" style="14" customWidth="1"/>
    <col min="1804" max="1804" width="13.7265625" style="14" customWidth="1"/>
    <col min="1805" max="1805" width="12.81640625" style="14" customWidth="1"/>
    <col min="1806" max="1806" width="31.453125" style="14" customWidth="1"/>
    <col min="1807" max="2047" width="9.1796875" style="14"/>
    <col min="2048" max="2048" width="3.81640625" style="14" customWidth="1"/>
    <col min="2049" max="2049" width="10.54296875" style="14" customWidth="1"/>
    <col min="2050" max="2050" width="54.1796875" style="14" customWidth="1"/>
    <col min="2051" max="2051" width="7.81640625" style="14" customWidth="1"/>
    <col min="2052" max="2052" width="7.7265625" style="14" customWidth="1"/>
    <col min="2053" max="2053" width="8.7265625" style="14" bestFit="1" customWidth="1"/>
    <col min="2054" max="2054" width="10.26953125" style="14" bestFit="1" customWidth="1"/>
    <col min="2055" max="2055" width="11" style="14" customWidth="1"/>
    <col min="2056" max="2056" width="8.81640625" style="14" customWidth="1"/>
    <col min="2057" max="2057" width="10.81640625" style="14" customWidth="1"/>
    <col min="2058" max="2058" width="8.81640625" style="14" customWidth="1"/>
    <col min="2059" max="2059" width="10.54296875" style="14" customWidth="1"/>
    <col min="2060" max="2060" width="13.7265625" style="14" customWidth="1"/>
    <col min="2061" max="2061" width="12.81640625" style="14" customWidth="1"/>
    <col min="2062" max="2062" width="31.453125" style="14" customWidth="1"/>
    <col min="2063" max="2303" width="9.1796875" style="14"/>
    <col min="2304" max="2304" width="3.81640625" style="14" customWidth="1"/>
    <col min="2305" max="2305" width="10.54296875" style="14" customWidth="1"/>
    <col min="2306" max="2306" width="54.1796875" style="14" customWidth="1"/>
    <col min="2307" max="2307" width="7.81640625" style="14" customWidth="1"/>
    <col min="2308" max="2308" width="7.7265625" style="14" customWidth="1"/>
    <col min="2309" max="2309" width="8.7265625" style="14" bestFit="1" customWidth="1"/>
    <col min="2310" max="2310" width="10.26953125" style="14" bestFit="1" customWidth="1"/>
    <col min="2311" max="2311" width="11" style="14" customWidth="1"/>
    <col min="2312" max="2312" width="8.81640625" style="14" customWidth="1"/>
    <col min="2313" max="2313" width="10.81640625" style="14" customWidth="1"/>
    <col min="2314" max="2314" width="8.81640625" style="14" customWidth="1"/>
    <col min="2315" max="2315" width="10.54296875" style="14" customWidth="1"/>
    <col min="2316" max="2316" width="13.7265625" style="14" customWidth="1"/>
    <col min="2317" max="2317" width="12.81640625" style="14" customWidth="1"/>
    <col min="2318" max="2318" width="31.453125" style="14" customWidth="1"/>
    <col min="2319" max="2559" width="9.1796875" style="14"/>
    <col min="2560" max="2560" width="3.81640625" style="14" customWidth="1"/>
    <col min="2561" max="2561" width="10.54296875" style="14" customWidth="1"/>
    <col min="2562" max="2562" width="54.1796875" style="14" customWidth="1"/>
    <col min="2563" max="2563" width="7.81640625" style="14" customWidth="1"/>
    <col min="2564" max="2564" width="7.7265625" style="14" customWidth="1"/>
    <col min="2565" max="2565" width="8.7265625" style="14" bestFit="1" customWidth="1"/>
    <col min="2566" max="2566" width="10.26953125" style="14" bestFit="1" customWidth="1"/>
    <col min="2567" max="2567" width="11" style="14" customWidth="1"/>
    <col min="2568" max="2568" width="8.81640625" style="14" customWidth="1"/>
    <col min="2569" max="2569" width="10.81640625" style="14" customWidth="1"/>
    <col min="2570" max="2570" width="8.81640625" style="14" customWidth="1"/>
    <col min="2571" max="2571" width="10.54296875" style="14" customWidth="1"/>
    <col min="2572" max="2572" width="13.7265625" style="14" customWidth="1"/>
    <col min="2573" max="2573" width="12.81640625" style="14" customWidth="1"/>
    <col min="2574" max="2574" width="31.453125" style="14" customWidth="1"/>
    <col min="2575" max="2815" width="9.1796875" style="14"/>
    <col min="2816" max="2816" width="3.81640625" style="14" customWidth="1"/>
    <col min="2817" max="2817" width="10.54296875" style="14" customWidth="1"/>
    <col min="2818" max="2818" width="54.1796875" style="14" customWidth="1"/>
    <col min="2819" max="2819" width="7.81640625" style="14" customWidth="1"/>
    <col min="2820" max="2820" width="7.7265625" style="14" customWidth="1"/>
    <col min="2821" max="2821" width="8.7265625" style="14" bestFit="1" customWidth="1"/>
    <col min="2822" max="2822" width="10.26953125" style="14" bestFit="1" customWidth="1"/>
    <col min="2823" max="2823" width="11" style="14" customWidth="1"/>
    <col min="2824" max="2824" width="8.81640625" style="14" customWidth="1"/>
    <col min="2825" max="2825" width="10.81640625" style="14" customWidth="1"/>
    <col min="2826" max="2826" width="8.81640625" style="14" customWidth="1"/>
    <col min="2827" max="2827" width="10.54296875" style="14" customWidth="1"/>
    <col min="2828" max="2828" width="13.7265625" style="14" customWidth="1"/>
    <col min="2829" max="2829" width="12.81640625" style="14" customWidth="1"/>
    <col min="2830" max="2830" width="31.453125" style="14" customWidth="1"/>
    <col min="2831" max="3071" width="9.1796875" style="14"/>
    <col min="3072" max="3072" width="3.81640625" style="14" customWidth="1"/>
    <col min="3073" max="3073" width="10.54296875" style="14" customWidth="1"/>
    <col min="3074" max="3074" width="54.1796875" style="14" customWidth="1"/>
    <col min="3075" max="3075" width="7.81640625" style="14" customWidth="1"/>
    <col min="3076" max="3076" width="7.7265625" style="14" customWidth="1"/>
    <col min="3077" max="3077" width="8.7265625" style="14" bestFit="1" customWidth="1"/>
    <col min="3078" max="3078" width="10.26953125" style="14" bestFit="1" customWidth="1"/>
    <col min="3079" max="3079" width="11" style="14" customWidth="1"/>
    <col min="3080" max="3080" width="8.81640625" style="14" customWidth="1"/>
    <col min="3081" max="3081" width="10.81640625" style="14" customWidth="1"/>
    <col min="3082" max="3082" width="8.81640625" style="14" customWidth="1"/>
    <col min="3083" max="3083" width="10.54296875" style="14" customWidth="1"/>
    <col min="3084" max="3084" width="13.7265625" style="14" customWidth="1"/>
    <col min="3085" max="3085" width="12.81640625" style="14" customWidth="1"/>
    <col min="3086" max="3086" width="31.453125" style="14" customWidth="1"/>
    <col min="3087" max="3327" width="9.1796875" style="14"/>
    <col min="3328" max="3328" width="3.81640625" style="14" customWidth="1"/>
    <col min="3329" max="3329" width="10.54296875" style="14" customWidth="1"/>
    <col min="3330" max="3330" width="54.1796875" style="14" customWidth="1"/>
    <col min="3331" max="3331" width="7.81640625" style="14" customWidth="1"/>
    <col min="3332" max="3332" width="7.7265625" style="14" customWidth="1"/>
    <col min="3333" max="3333" width="8.7265625" style="14" bestFit="1" customWidth="1"/>
    <col min="3334" max="3334" width="10.26953125" style="14" bestFit="1" customWidth="1"/>
    <col min="3335" max="3335" width="11" style="14" customWidth="1"/>
    <col min="3336" max="3336" width="8.81640625" style="14" customWidth="1"/>
    <col min="3337" max="3337" width="10.81640625" style="14" customWidth="1"/>
    <col min="3338" max="3338" width="8.81640625" style="14" customWidth="1"/>
    <col min="3339" max="3339" width="10.54296875" style="14" customWidth="1"/>
    <col min="3340" max="3340" width="13.7265625" style="14" customWidth="1"/>
    <col min="3341" max="3341" width="12.81640625" style="14" customWidth="1"/>
    <col min="3342" max="3342" width="31.453125" style="14" customWidth="1"/>
    <col min="3343" max="3583" width="9.1796875" style="14"/>
    <col min="3584" max="3584" width="3.81640625" style="14" customWidth="1"/>
    <col min="3585" max="3585" width="10.54296875" style="14" customWidth="1"/>
    <col min="3586" max="3586" width="54.1796875" style="14" customWidth="1"/>
    <col min="3587" max="3587" width="7.81640625" style="14" customWidth="1"/>
    <col min="3588" max="3588" width="7.7265625" style="14" customWidth="1"/>
    <col min="3589" max="3589" width="8.7265625" style="14" bestFit="1" customWidth="1"/>
    <col min="3590" max="3590" width="10.26953125" style="14" bestFit="1" customWidth="1"/>
    <col min="3591" max="3591" width="11" style="14" customWidth="1"/>
    <col min="3592" max="3592" width="8.81640625" style="14" customWidth="1"/>
    <col min="3593" max="3593" width="10.81640625" style="14" customWidth="1"/>
    <col min="3594" max="3594" width="8.81640625" style="14" customWidth="1"/>
    <col min="3595" max="3595" width="10.54296875" style="14" customWidth="1"/>
    <col min="3596" max="3596" width="13.7265625" style="14" customWidth="1"/>
    <col min="3597" max="3597" width="12.81640625" style="14" customWidth="1"/>
    <col min="3598" max="3598" width="31.453125" style="14" customWidth="1"/>
    <col min="3599" max="3839" width="9.1796875" style="14"/>
    <col min="3840" max="3840" width="3.81640625" style="14" customWidth="1"/>
    <col min="3841" max="3841" width="10.54296875" style="14" customWidth="1"/>
    <col min="3842" max="3842" width="54.1796875" style="14" customWidth="1"/>
    <col min="3843" max="3843" width="7.81640625" style="14" customWidth="1"/>
    <col min="3844" max="3844" width="7.7265625" style="14" customWidth="1"/>
    <col min="3845" max="3845" width="8.7265625" style="14" bestFit="1" customWidth="1"/>
    <col min="3846" max="3846" width="10.26953125" style="14" bestFit="1" customWidth="1"/>
    <col min="3847" max="3847" width="11" style="14" customWidth="1"/>
    <col min="3848" max="3848" width="8.81640625" style="14" customWidth="1"/>
    <col min="3849" max="3849" width="10.81640625" style="14" customWidth="1"/>
    <col min="3850" max="3850" width="8.81640625" style="14" customWidth="1"/>
    <col min="3851" max="3851" width="10.54296875" style="14" customWidth="1"/>
    <col min="3852" max="3852" width="13.7265625" style="14" customWidth="1"/>
    <col min="3853" max="3853" width="12.81640625" style="14" customWidth="1"/>
    <col min="3854" max="3854" width="31.453125" style="14" customWidth="1"/>
    <col min="3855" max="4095" width="9.1796875" style="14"/>
    <col min="4096" max="4096" width="3.81640625" style="14" customWidth="1"/>
    <col min="4097" max="4097" width="10.54296875" style="14" customWidth="1"/>
    <col min="4098" max="4098" width="54.1796875" style="14" customWidth="1"/>
    <col min="4099" max="4099" width="7.81640625" style="14" customWidth="1"/>
    <col min="4100" max="4100" width="7.7265625" style="14" customWidth="1"/>
    <col min="4101" max="4101" width="8.7265625" style="14" bestFit="1" customWidth="1"/>
    <col min="4102" max="4102" width="10.26953125" style="14" bestFit="1" customWidth="1"/>
    <col min="4103" max="4103" width="11" style="14" customWidth="1"/>
    <col min="4104" max="4104" width="8.81640625" style="14" customWidth="1"/>
    <col min="4105" max="4105" width="10.81640625" style="14" customWidth="1"/>
    <col min="4106" max="4106" width="8.81640625" style="14" customWidth="1"/>
    <col min="4107" max="4107" width="10.54296875" style="14" customWidth="1"/>
    <col min="4108" max="4108" width="13.7265625" style="14" customWidth="1"/>
    <col min="4109" max="4109" width="12.81640625" style="14" customWidth="1"/>
    <col min="4110" max="4110" width="31.453125" style="14" customWidth="1"/>
    <col min="4111" max="4351" width="9.1796875" style="14"/>
    <col min="4352" max="4352" width="3.81640625" style="14" customWidth="1"/>
    <col min="4353" max="4353" width="10.54296875" style="14" customWidth="1"/>
    <col min="4354" max="4354" width="54.1796875" style="14" customWidth="1"/>
    <col min="4355" max="4355" width="7.81640625" style="14" customWidth="1"/>
    <col min="4356" max="4356" width="7.7265625" style="14" customWidth="1"/>
    <col min="4357" max="4357" width="8.7265625" style="14" bestFit="1" customWidth="1"/>
    <col min="4358" max="4358" width="10.26953125" style="14" bestFit="1" customWidth="1"/>
    <col min="4359" max="4359" width="11" style="14" customWidth="1"/>
    <col min="4360" max="4360" width="8.81640625" style="14" customWidth="1"/>
    <col min="4361" max="4361" width="10.81640625" style="14" customWidth="1"/>
    <col min="4362" max="4362" width="8.81640625" style="14" customWidth="1"/>
    <col min="4363" max="4363" width="10.54296875" style="14" customWidth="1"/>
    <col min="4364" max="4364" width="13.7265625" style="14" customWidth="1"/>
    <col min="4365" max="4365" width="12.81640625" style="14" customWidth="1"/>
    <col min="4366" max="4366" width="31.453125" style="14" customWidth="1"/>
    <col min="4367" max="4607" width="9.1796875" style="14"/>
    <col min="4608" max="4608" width="3.81640625" style="14" customWidth="1"/>
    <col min="4609" max="4609" width="10.54296875" style="14" customWidth="1"/>
    <col min="4610" max="4610" width="54.1796875" style="14" customWidth="1"/>
    <col min="4611" max="4611" width="7.81640625" style="14" customWidth="1"/>
    <col min="4612" max="4612" width="7.7265625" style="14" customWidth="1"/>
    <col min="4613" max="4613" width="8.7265625" style="14" bestFit="1" customWidth="1"/>
    <col min="4614" max="4614" width="10.26953125" style="14" bestFit="1" customWidth="1"/>
    <col min="4615" max="4615" width="11" style="14" customWidth="1"/>
    <col min="4616" max="4616" width="8.81640625" style="14" customWidth="1"/>
    <col min="4617" max="4617" width="10.81640625" style="14" customWidth="1"/>
    <col min="4618" max="4618" width="8.81640625" style="14" customWidth="1"/>
    <col min="4619" max="4619" width="10.54296875" style="14" customWidth="1"/>
    <col min="4620" max="4620" width="13.7265625" style="14" customWidth="1"/>
    <col min="4621" max="4621" width="12.81640625" style="14" customWidth="1"/>
    <col min="4622" max="4622" width="31.453125" style="14" customWidth="1"/>
    <col min="4623" max="4863" width="9.1796875" style="14"/>
    <col min="4864" max="4864" width="3.81640625" style="14" customWidth="1"/>
    <col min="4865" max="4865" width="10.54296875" style="14" customWidth="1"/>
    <col min="4866" max="4866" width="54.1796875" style="14" customWidth="1"/>
    <col min="4867" max="4867" width="7.81640625" style="14" customWidth="1"/>
    <col min="4868" max="4868" width="7.7265625" style="14" customWidth="1"/>
    <col min="4869" max="4869" width="8.7265625" style="14" bestFit="1" customWidth="1"/>
    <col min="4870" max="4870" width="10.26953125" style="14" bestFit="1" customWidth="1"/>
    <col min="4871" max="4871" width="11" style="14" customWidth="1"/>
    <col min="4872" max="4872" width="8.81640625" style="14" customWidth="1"/>
    <col min="4873" max="4873" width="10.81640625" style="14" customWidth="1"/>
    <col min="4874" max="4874" width="8.81640625" style="14" customWidth="1"/>
    <col min="4875" max="4875" width="10.54296875" style="14" customWidth="1"/>
    <col min="4876" max="4876" width="13.7265625" style="14" customWidth="1"/>
    <col min="4877" max="4877" width="12.81640625" style="14" customWidth="1"/>
    <col min="4878" max="4878" width="31.453125" style="14" customWidth="1"/>
    <col min="4879" max="5119" width="9.1796875" style="14"/>
    <col min="5120" max="5120" width="3.81640625" style="14" customWidth="1"/>
    <col min="5121" max="5121" width="10.54296875" style="14" customWidth="1"/>
    <col min="5122" max="5122" width="54.1796875" style="14" customWidth="1"/>
    <col min="5123" max="5123" width="7.81640625" style="14" customWidth="1"/>
    <col min="5124" max="5124" width="7.7265625" style="14" customWidth="1"/>
    <col min="5125" max="5125" width="8.7265625" style="14" bestFit="1" customWidth="1"/>
    <col min="5126" max="5126" width="10.26953125" style="14" bestFit="1" customWidth="1"/>
    <col min="5127" max="5127" width="11" style="14" customWidth="1"/>
    <col min="5128" max="5128" width="8.81640625" style="14" customWidth="1"/>
    <col min="5129" max="5129" width="10.81640625" style="14" customWidth="1"/>
    <col min="5130" max="5130" width="8.81640625" style="14" customWidth="1"/>
    <col min="5131" max="5131" width="10.54296875" style="14" customWidth="1"/>
    <col min="5132" max="5132" width="13.7265625" style="14" customWidth="1"/>
    <col min="5133" max="5133" width="12.81640625" style="14" customWidth="1"/>
    <col min="5134" max="5134" width="31.453125" style="14" customWidth="1"/>
    <col min="5135" max="5375" width="9.1796875" style="14"/>
    <col min="5376" max="5376" width="3.81640625" style="14" customWidth="1"/>
    <col min="5377" max="5377" width="10.54296875" style="14" customWidth="1"/>
    <col min="5378" max="5378" width="54.1796875" style="14" customWidth="1"/>
    <col min="5379" max="5379" width="7.81640625" style="14" customWidth="1"/>
    <col min="5380" max="5380" width="7.7265625" style="14" customWidth="1"/>
    <col min="5381" max="5381" width="8.7265625" style="14" bestFit="1" customWidth="1"/>
    <col min="5382" max="5382" width="10.26953125" style="14" bestFit="1" customWidth="1"/>
    <col min="5383" max="5383" width="11" style="14" customWidth="1"/>
    <col min="5384" max="5384" width="8.81640625" style="14" customWidth="1"/>
    <col min="5385" max="5385" width="10.81640625" style="14" customWidth="1"/>
    <col min="5386" max="5386" width="8.81640625" style="14" customWidth="1"/>
    <col min="5387" max="5387" width="10.54296875" style="14" customWidth="1"/>
    <col min="5388" max="5388" width="13.7265625" style="14" customWidth="1"/>
    <col min="5389" max="5389" width="12.81640625" style="14" customWidth="1"/>
    <col min="5390" max="5390" width="31.453125" style="14" customWidth="1"/>
    <col min="5391" max="5631" width="9.1796875" style="14"/>
    <col min="5632" max="5632" width="3.81640625" style="14" customWidth="1"/>
    <col min="5633" max="5633" width="10.54296875" style="14" customWidth="1"/>
    <col min="5634" max="5634" width="54.1796875" style="14" customWidth="1"/>
    <col min="5635" max="5635" width="7.81640625" style="14" customWidth="1"/>
    <col min="5636" max="5636" width="7.7265625" style="14" customWidth="1"/>
    <col min="5637" max="5637" width="8.7265625" style="14" bestFit="1" customWidth="1"/>
    <col min="5638" max="5638" width="10.26953125" style="14" bestFit="1" customWidth="1"/>
    <col min="5639" max="5639" width="11" style="14" customWidth="1"/>
    <col min="5640" max="5640" width="8.81640625" style="14" customWidth="1"/>
    <col min="5641" max="5641" width="10.81640625" style="14" customWidth="1"/>
    <col min="5642" max="5642" width="8.81640625" style="14" customWidth="1"/>
    <col min="5643" max="5643" width="10.54296875" style="14" customWidth="1"/>
    <col min="5644" max="5644" width="13.7265625" style="14" customWidth="1"/>
    <col min="5645" max="5645" width="12.81640625" style="14" customWidth="1"/>
    <col min="5646" max="5646" width="31.453125" style="14" customWidth="1"/>
    <col min="5647" max="5887" width="9.1796875" style="14"/>
    <col min="5888" max="5888" width="3.81640625" style="14" customWidth="1"/>
    <col min="5889" max="5889" width="10.54296875" style="14" customWidth="1"/>
    <col min="5890" max="5890" width="54.1796875" style="14" customWidth="1"/>
    <col min="5891" max="5891" width="7.81640625" style="14" customWidth="1"/>
    <col min="5892" max="5892" width="7.7265625" style="14" customWidth="1"/>
    <col min="5893" max="5893" width="8.7265625" style="14" bestFit="1" customWidth="1"/>
    <col min="5894" max="5894" width="10.26953125" style="14" bestFit="1" customWidth="1"/>
    <col min="5895" max="5895" width="11" style="14" customWidth="1"/>
    <col min="5896" max="5896" width="8.81640625" style="14" customWidth="1"/>
    <col min="5897" max="5897" width="10.81640625" style="14" customWidth="1"/>
    <col min="5898" max="5898" width="8.81640625" style="14" customWidth="1"/>
    <col min="5899" max="5899" width="10.54296875" style="14" customWidth="1"/>
    <col min="5900" max="5900" width="13.7265625" style="14" customWidth="1"/>
    <col min="5901" max="5901" width="12.81640625" style="14" customWidth="1"/>
    <col min="5902" max="5902" width="31.453125" style="14" customWidth="1"/>
    <col min="5903" max="6143" width="9.1796875" style="14"/>
    <col min="6144" max="6144" width="3.81640625" style="14" customWidth="1"/>
    <col min="6145" max="6145" width="10.54296875" style="14" customWidth="1"/>
    <col min="6146" max="6146" width="54.1796875" style="14" customWidth="1"/>
    <col min="6147" max="6147" width="7.81640625" style="14" customWidth="1"/>
    <col min="6148" max="6148" width="7.7265625" style="14" customWidth="1"/>
    <col min="6149" max="6149" width="8.7265625" style="14" bestFit="1" customWidth="1"/>
    <col min="6150" max="6150" width="10.26953125" style="14" bestFit="1" customWidth="1"/>
    <col min="6151" max="6151" width="11" style="14" customWidth="1"/>
    <col min="6152" max="6152" width="8.81640625" style="14" customWidth="1"/>
    <col min="6153" max="6153" width="10.81640625" style="14" customWidth="1"/>
    <col min="6154" max="6154" width="8.81640625" style="14" customWidth="1"/>
    <col min="6155" max="6155" width="10.54296875" style="14" customWidth="1"/>
    <col min="6156" max="6156" width="13.7265625" style="14" customWidth="1"/>
    <col min="6157" max="6157" width="12.81640625" style="14" customWidth="1"/>
    <col min="6158" max="6158" width="31.453125" style="14" customWidth="1"/>
    <col min="6159" max="6399" width="9.1796875" style="14"/>
    <col min="6400" max="6400" width="3.81640625" style="14" customWidth="1"/>
    <col min="6401" max="6401" width="10.54296875" style="14" customWidth="1"/>
    <col min="6402" max="6402" width="54.1796875" style="14" customWidth="1"/>
    <col min="6403" max="6403" width="7.81640625" style="14" customWidth="1"/>
    <col min="6404" max="6404" width="7.7265625" style="14" customWidth="1"/>
    <col min="6405" max="6405" width="8.7265625" style="14" bestFit="1" customWidth="1"/>
    <col min="6406" max="6406" width="10.26953125" style="14" bestFit="1" customWidth="1"/>
    <col min="6407" max="6407" width="11" style="14" customWidth="1"/>
    <col min="6408" max="6408" width="8.81640625" style="14" customWidth="1"/>
    <col min="6409" max="6409" width="10.81640625" style="14" customWidth="1"/>
    <col min="6410" max="6410" width="8.81640625" style="14" customWidth="1"/>
    <col min="6411" max="6411" width="10.54296875" style="14" customWidth="1"/>
    <col min="6412" max="6412" width="13.7265625" style="14" customWidth="1"/>
    <col min="6413" max="6413" width="12.81640625" style="14" customWidth="1"/>
    <col min="6414" max="6414" width="31.453125" style="14" customWidth="1"/>
    <col min="6415" max="6655" width="9.1796875" style="14"/>
    <col min="6656" max="6656" width="3.81640625" style="14" customWidth="1"/>
    <col min="6657" max="6657" width="10.54296875" style="14" customWidth="1"/>
    <col min="6658" max="6658" width="54.1796875" style="14" customWidth="1"/>
    <col min="6659" max="6659" width="7.81640625" style="14" customWidth="1"/>
    <col min="6660" max="6660" width="7.7265625" style="14" customWidth="1"/>
    <col min="6661" max="6661" width="8.7265625" style="14" bestFit="1" customWidth="1"/>
    <col min="6662" max="6662" width="10.26953125" style="14" bestFit="1" customWidth="1"/>
    <col min="6663" max="6663" width="11" style="14" customWidth="1"/>
    <col min="6664" max="6664" width="8.81640625" style="14" customWidth="1"/>
    <col min="6665" max="6665" width="10.81640625" style="14" customWidth="1"/>
    <col min="6666" max="6666" width="8.81640625" style="14" customWidth="1"/>
    <col min="6667" max="6667" width="10.54296875" style="14" customWidth="1"/>
    <col min="6668" max="6668" width="13.7265625" style="14" customWidth="1"/>
    <col min="6669" max="6669" width="12.81640625" style="14" customWidth="1"/>
    <col min="6670" max="6670" width="31.453125" style="14" customWidth="1"/>
    <col min="6671" max="6911" width="9.1796875" style="14"/>
    <col min="6912" max="6912" width="3.81640625" style="14" customWidth="1"/>
    <col min="6913" max="6913" width="10.54296875" style="14" customWidth="1"/>
    <col min="6914" max="6914" width="54.1796875" style="14" customWidth="1"/>
    <col min="6915" max="6915" width="7.81640625" style="14" customWidth="1"/>
    <col min="6916" max="6916" width="7.7265625" style="14" customWidth="1"/>
    <col min="6917" max="6917" width="8.7265625" style="14" bestFit="1" customWidth="1"/>
    <col min="6918" max="6918" width="10.26953125" style="14" bestFit="1" customWidth="1"/>
    <col min="6919" max="6919" width="11" style="14" customWidth="1"/>
    <col min="6920" max="6920" width="8.81640625" style="14" customWidth="1"/>
    <col min="6921" max="6921" width="10.81640625" style="14" customWidth="1"/>
    <col min="6922" max="6922" width="8.81640625" style="14" customWidth="1"/>
    <col min="6923" max="6923" width="10.54296875" style="14" customWidth="1"/>
    <col min="6924" max="6924" width="13.7265625" style="14" customWidth="1"/>
    <col min="6925" max="6925" width="12.81640625" style="14" customWidth="1"/>
    <col min="6926" max="6926" width="31.453125" style="14" customWidth="1"/>
    <col min="6927" max="7167" width="9.1796875" style="14"/>
    <col min="7168" max="7168" width="3.81640625" style="14" customWidth="1"/>
    <col min="7169" max="7169" width="10.54296875" style="14" customWidth="1"/>
    <col min="7170" max="7170" width="54.1796875" style="14" customWidth="1"/>
    <col min="7171" max="7171" width="7.81640625" style="14" customWidth="1"/>
    <col min="7172" max="7172" width="7.7265625" style="14" customWidth="1"/>
    <col min="7173" max="7173" width="8.7265625" style="14" bestFit="1" customWidth="1"/>
    <col min="7174" max="7174" width="10.26953125" style="14" bestFit="1" customWidth="1"/>
    <col min="7175" max="7175" width="11" style="14" customWidth="1"/>
    <col min="7176" max="7176" width="8.81640625" style="14" customWidth="1"/>
    <col min="7177" max="7177" width="10.81640625" style="14" customWidth="1"/>
    <col min="7178" max="7178" width="8.81640625" style="14" customWidth="1"/>
    <col min="7179" max="7179" width="10.54296875" style="14" customWidth="1"/>
    <col min="7180" max="7180" width="13.7265625" style="14" customWidth="1"/>
    <col min="7181" max="7181" width="12.81640625" style="14" customWidth="1"/>
    <col min="7182" max="7182" width="31.453125" style="14" customWidth="1"/>
    <col min="7183" max="7423" width="9.1796875" style="14"/>
    <col min="7424" max="7424" width="3.81640625" style="14" customWidth="1"/>
    <col min="7425" max="7425" width="10.54296875" style="14" customWidth="1"/>
    <col min="7426" max="7426" width="54.1796875" style="14" customWidth="1"/>
    <col min="7427" max="7427" width="7.81640625" style="14" customWidth="1"/>
    <col min="7428" max="7428" width="7.7265625" style="14" customWidth="1"/>
    <col min="7429" max="7429" width="8.7265625" style="14" bestFit="1" customWidth="1"/>
    <col min="7430" max="7430" width="10.26953125" style="14" bestFit="1" customWidth="1"/>
    <col min="7431" max="7431" width="11" style="14" customWidth="1"/>
    <col min="7432" max="7432" width="8.81640625" style="14" customWidth="1"/>
    <col min="7433" max="7433" width="10.81640625" style="14" customWidth="1"/>
    <col min="7434" max="7434" width="8.81640625" style="14" customWidth="1"/>
    <col min="7435" max="7435" width="10.54296875" style="14" customWidth="1"/>
    <col min="7436" max="7436" width="13.7265625" style="14" customWidth="1"/>
    <col min="7437" max="7437" width="12.81640625" style="14" customWidth="1"/>
    <col min="7438" max="7438" width="31.453125" style="14" customWidth="1"/>
    <col min="7439" max="7679" width="9.1796875" style="14"/>
    <col min="7680" max="7680" width="3.81640625" style="14" customWidth="1"/>
    <col min="7681" max="7681" width="10.54296875" style="14" customWidth="1"/>
    <col min="7682" max="7682" width="54.1796875" style="14" customWidth="1"/>
    <col min="7683" max="7683" width="7.81640625" style="14" customWidth="1"/>
    <col min="7684" max="7684" width="7.7265625" style="14" customWidth="1"/>
    <col min="7685" max="7685" width="8.7265625" style="14" bestFit="1" customWidth="1"/>
    <col min="7686" max="7686" width="10.26953125" style="14" bestFit="1" customWidth="1"/>
    <col min="7687" max="7687" width="11" style="14" customWidth="1"/>
    <col min="7688" max="7688" width="8.81640625" style="14" customWidth="1"/>
    <col min="7689" max="7689" width="10.81640625" style="14" customWidth="1"/>
    <col min="7690" max="7690" width="8.81640625" style="14" customWidth="1"/>
    <col min="7691" max="7691" width="10.54296875" style="14" customWidth="1"/>
    <col min="7692" max="7692" width="13.7265625" style="14" customWidth="1"/>
    <col min="7693" max="7693" width="12.81640625" style="14" customWidth="1"/>
    <col min="7694" max="7694" width="31.453125" style="14" customWidth="1"/>
    <col min="7695" max="7935" width="9.1796875" style="14"/>
    <col min="7936" max="7936" width="3.81640625" style="14" customWidth="1"/>
    <col min="7937" max="7937" width="10.54296875" style="14" customWidth="1"/>
    <col min="7938" max="7938" width="54.1796875" style="14" customWidth="1"/>
    <col min="7939" max="7939" width="7.81640625" style="14" customWidth="1"/>
    <col min="7940" max="7940" width="7.7265625" style="14" customWidth="1"/>
    <col min="7941" max="7941" width="8.7265625" style="14" bestFit="1" customWidth="1"/>
    <col min="7942" max="7942" width="10.26953125" style="14" bestFit="1" customWidth="1"/>
    <col min="7943" max="7943" width="11" style="14" customWidth="1"/>
    <col min="7944" max="7944" width="8.81640625" style="14" customWidth="1"/>
    <col min="7945" max="7945" width="10.81640625" style="14" customWidth="1"/>
    <col min="7946" max="7946" width="8.81640625" style="14" customWidth="1"/>
    <col min="7947" max="7947" width="10.54296875" style="14" customWidth="1"/>
    <col min="7948" max="7948" width="13.7265625" style="14" customWidth="1"/>
    <col min="7949" max="7949" width="12.81640625" style="14" customWidth="1"/>
    <col min="7950" max="7950" width="31.453125" style="14" customWidth="1"/>
    <col min="7951" max="8191" width="9.1796875" style="14"/>
    <col min="8192" max="8192" width="3.81640625" style="14" customWidth="1"/>
    <col min="8193" max="8193" width="10.54296875" style="14" customWidth="1"/>
    <col min="8194" max="8194" width="54.1796875" style="14" customWidth="1"/>
    <col min="8195" max="8195" width="7.81640625" style="14" customWidth="1"/>
    <col min="8196" max="8196" width="7.7265625" style="14" customWidth="1"/>
    <col min="8197" max="8197" width="8.7265625" style="14" bestFit="1" customWidth="1"/>
    <col min="8198" max="8198" width="10.26953125" style="14" bestFit="1" customWidth="1"/>
    <col min="8199" max="8199" width="11" style="14" customWidth="1"/>
    <col min="8200" max="8200" width="8.81640625" style="14" customWidth="1"/>
    <col min="8201" max="8201" width="10.81640625" style="14" customWidth="1"/>
    <col min="8202" max="8202" width="8.81640625" style="14" customWidth="1"/>
    <col min="8203" max="8203" width="10.54296875" style="14" customWidth="1"/>
    <col min="8204" max="8204" width="13.7265625" style="14" customWidth="1"/>
    <col min="8205" max="8205" width="12.81640625" style="14" customWidth="1"/>
    <col min="8206" max="8206" width="31.453125" style="14" customWidth="1"/>
    <col min="8207" max="8447" width="9.1796875" style="14"/>
    <col min="8448" max="8448" width="3.81640625" style="14" customWidth="1"/>
    <col min="8449" max="8449" width="10.54296875" style="14" customWidth="1"/>
    <col min="8450" max="8450" width="54.1796875" style="14" customWidth="1"/>
    <col min="8451" max="8451" width="7.81640625" style="14" customWidth="1"/>
    <col min="8452" max="8452" width="7.7265625" style="14" customWidth="1"/>
    <col min="8453" max="8453" width="8.7265625" style="14" bestFit="1" customWidth="1"/>
    <col min="8454" max="8454" width="10.26953125" style="14" bestFit="1" customWidth="1"/>
    <col min="8455" max="8455" width="11" style="14" customWidth="1"/>
    <col min="8456" max="8456" width="8.81640625" style="14" customWidth="1"/>
    <col min="8457" max="8457" width="10.81640625" style="14" customWidth="1"/>
    <col min="8458" max="8458" width="8.81640625" style="14" customWidth="1"/>
    <col min="8459" max="8459" width="10.54296875" style="14" customWidth="1"/>
    <col min="8460" max="8460" width="13.7265625" style="14" customWidth="1"/>
    <col min="8461" max="8461" width="12.81640625" style="14" customWidth="1"/>
    <col min="8462" max="8462" width="31.453125" style="14" customWidth="1"/>
    <col min="8463" max="8703" width="9.1796875" style="14"/>
    <col min="8704" max="8704" width="3.81640625" style="14" customWidth="1"/>
    <col min="8705" max="8705" width="10.54296875" style="14" customWidth="1"/>
    <col min="8706" max="8706" width="54.1796875" style="14" customWidth="1"/>
    <col min="8707" max="8707" width="7.81640625" style="14" customWidth="1"/>
    <col min="8708" max="8708" width="7.7265625" style="14" customWidth="1"/>
    <col min="8709" max="8709" width="8.7265625" style="14" bestFit="1" customWidth="1"/>
    <col min="8710" max="8710" width="10.26953125" style="14" bestFit="1" customWidth="1"/>
    <col min="8711" max="8711" width="11" style="14" customWidth="1"/>
    <col min="8712" max="8712" width="8.81640625" style="14" customWidth="1"/>
    <col min="8713" max="8713" width="10.81640625" style="14" customWidth="1"/>
    <col min="8714" max="8714" width="8.81640625" style="14" customWidth="1"/>
    <col min="8715" max="8715" width="10.54296875" style="14" customWidth="1"/>
    <col min="8716" max="8716" width="13.7265625" style="14" customWidth="1"/>
    <col min="8717" max="8717" width="12.81640625" style="14" customWidth="1"/>
    <col min="8718" max="8718" width="31.453125" style="14" customWidth="1"/>
    <col min="8719" max="8959" width="9.1796875" style="14"/>
    <col min="8960" max="8960" width="3.81640625" style="14" customWidth="1"/>
    <col min="8961" max="8961" width="10.54296875" style="14" customWidth="1"/>
    <col min="8962" max="8962" width="54.1796875" style="14" customWidth="1"/>
    <col min="8963" max="8963" width="7.81640625" style="14" customWidth="1"/>
    <col min="8964" max="8964" width="7.7265625" style="14" customWidth="1"/>
    <col min="8965" max="8965" width="8.7265625" style="14" bestFit="1" customWidth="1"/>
    <col min="8966" max="8966" width="10.26953125" style="14" bestFit="1" customWidth="1"/>
    <col min="8967" max="8967" width="11" style="14" customWidth="1"/>
    <col min="8968" max="8968" width="8.81640625" style="14" customWidth="1"/>
    <col min="8969" max="8969" width="10.81640625" style="14" customWidth="1"/>
    <col min="8970" max="8970" width="8.81640625" style="14" customWidth="1"/>
    <col min="8971" max="8971" width="10.54296875" style="14" customWidth="1"/>
    <col min="8972" max="8972" width="13.7265625" style="14" customWidth="1"/>
    <col min="8973" max="8973" width="12.81640625" style="14" customWidth="1"/>
    <col min="8974" max="8974" width="31.453125" style="14" customWidth="1"/>
    <col min="8975" max="9215" width="9.1796875" style="14"/>
    <col min="9216" max="9216" width="3.81640625" style="14" customWidth="1"/>
    <col min="9217" max="9217" width="10.54296875" style="14" customWidth="1"/>
    <col min="9218" max="9218" width="54.1796875" style="14" customWidth="1"/>
    <col min="9219" max="9219" width="7.81640625" style="14" customWidth="1"/>
    <col min="9220" max="9220" width="7.7265625" style="14" customWidth="1"/>
    <col min="9221" max="9221" width="8.7265625" style="14" bestFit="1" customWidth="1"/>
    <col min="9222" max="9222" width="10.26953125" style="14" bestFit="1" customWidth="1"/>
    <col min="9223" max="9223" width="11" style="14" customWidth="1"/>
    <col min="9224" max="9224" width="8.81640625" style="14" customWidth="1"/>
    <col min="9225" max="9225" width="10.81640625" style="14" customWidth="1"/>
    <col min="9226" max="9226" width="8.81640625" style="14" customWidth="1"/>
    <col min="9227" max="9227" width="10.54296875" style="14" customWidth="1"/>
    <col min="9228" max="9228" width="13.7265625" style="14" customWidth="1"/>
    <col min="9229" max="9229" width="12.81640625" style="14" customWidth="1"/>
    <col min="9230" max="9230" width="31.453125" style="14" customWidth="1"/>
    <col min="9231" max="9471" width="9.1796875" style="14"/>
    <col min="9472" max="9472" width="3.81640625" style="14" customWidth="1"/>
    <col min="9473" max="9473" width="10.54296875" style="14" customWidth="1"/>
    <col min="9474" max="9474" width="54.1796875" style="14" customWidth="1"/>
    <col min="9475" max="9475" width="7.81640625" style="14" customWidth="1"/>
    <col min="9476" max="9476" width="7.7265625" style="14" customWidth="1"/>
    <col min="9477" max="9477" width="8.7265625" style="14" bestFit="1" customWidth="1"/>
    <col min="9478" max="9478" width="10.26953125" style="14" bestFit="1" customWidth="1"/>
    <col min="9479" max="9479" width="11" style="14" customWidth="1"/>
    <col min="9480" max="9480" width="8.81640625" style="14" customWidth="1"/>
    <col min="9481" max="9481" width="10.81640625" style="14" customWidth="1"/>
    <col min="9482" max="9482" width="8.81640625" style="14" customWidth="1"/>
    <col min="9483" max="9483" width="10.54296875" style="14" customWidth="1"/>
    <col min="9484" max="9484" width="13.7265625" style="14" customWidth="1"/>
    <col min="9485" max="9485" width="12.81640625" style="14" customWidth="1"/>
    <col min="9486" max="9486" width="31.453125" style="14" customWidth="1"/>
    <col min="9487" max="9727" width="9.1796875" style="14"/>
    <col min="9728" max="9728" width="3.81640625" style="14" customWidth="1"/>
    <col min="9729" max="9729" width="10.54296875" style="14" customWidth="1"/>
    <col min="9730" max="9730" width="54.1796875" style="14" customWidth="1"/>
    <col min="9731" max="9731" width="7.81640625" style="14" customWidth="1"/>
    <col min="9732" max="9732" width="7.7265625" style="14" customWidth="1"/>
    <col min="9733" max="9733" width="8.7265625" style="14" bestFit="1" customWidth="1"/>
    <col min="9734" max="9734" width="10.26953125" style="14" bestFit="1" customWidth="1"/>
    <col min="9735" max="9735" width="11" style="14" customWidth="1"/>
    <col min="9736" max="9736" width="8.81640625" style="14" customWidth="1"/>
    <col min="9737" max="9737" width="10.81640625" style="14" customWidth="1"/>
    <col min="9738" max="9738" width="8.81640625" style="14" customWidth="1"/>
    <col min="9739" max="9739" width="10.54296875" style="14" customWidth="1"/>
    <col min="9740" max="9740" width="13.7265625" style="14" customWidth="1"/>
    <col min="9741" max="9741" width="12.81640625" style="14" customWidth="1"/>
    <col min="9742" max="9742" width="31.453125" style="14" customWidth="1"/>
    <col min="9743" max="9983" width="9.1796875" style="14"/>
    <col min="9984" max="9984" width="3.81640625" style="14" customWidth="1"/>
    <col min="9985" max="9985" width="10.54296875" style="14" customWidth="1"/>
    <col min="9986" max="9986" width="54.1796875" style="14" customWidth="1"/>
    <col min="9987" max="9987" width="7.81640625" style="14" customWidth="1"/>
    <col min="9988" max="9988" width="7.7265625" style="14" customWidth="1"/>
    <col min="9989" max="9989" width="8.7265625" style="14" bestFit="1" customWidth="1"/>
    <col min="9990" max="9990" width="10.26953125" style="14" bestFit="1" customWidth="1"/>
    <col min="9991" max="9991" width="11" style="14" customWidth="1"/>
    <col min="9992" max="9992" width="8.81640625" style="14" customWidth="1"/>
    <col min="9993" max="9993" width="10.81640625" style="14" customWidth="1"/>
    <col min="9994" max="9994" width="8.81640625" style="14" customWidth="1"/>
    <col min="9995" max="9995" width="10.54296875" style="14" customWidth="1"/>
    <col min="9996" max="9996" width="13.7265625" style="14" customWidth="1"/>
    <col min="9997" max="9997" width="12.81640625" style="14" customWidth="1"/>
    <col min="9998" max="9998" width="31.453125" style="14" customWidth="1"/>
    <col min="9999" max="10239" width="9.1796875" style="14"/>
    <col min="10240" max="10240" width="3.81640625" style="14" customWidth="1"/>
    <col min="10241" max="10241" width="10.54296875" style="14" customWidth="1"/>
    <col min="10242" max="10242" width="54.1796875" style="14" customWidth="1"/>
    <col min="10243" max="10243" width="7.81640625" style="14" customWidth="1"/>
    <col min="10244" max="10244" width="7.7265625" style="14" customWidth="1"/>
    <col min="10245" max="10245" width="8.7265625" style="14" bestFit="1" customWidth="1"/>
    <col min="10246" max="10246" width="10.26953125" style="14" bestFit="1" customWidth="1"/>
    <col min="10247" max="10247" width="11" style="14" customWidth="1"/>
    <col min="10248" max="10248" width="8.81640625" style="14" customWidth="1"/>
    <col min="10249" max="10249" width="10.81640625" style="14" customWidth="1"/>
    <col min="10250" max="10250" width="8.81640625" style="14" customWidth="1"/>
    <col min="10251" max="10251" width="10.54296875" style="14" customWidth="1"/>
    <col min="10252" max="10252" width="13.7265625" style="14" customWidth="1"/>
    <col min="10253" max="10253" width="12.81640625" style="14" customWidth="1"/>
    <col min="10254" max="10254" width="31.453125" style="14" customWidth="1"/>
    <col min="10255" max="10495" width="9.1796875" style="14"/>
    <col min="10496" max="10496" width="3.81640625" style="14" customWidth="1"/>
    <col min="10497" max="10497" width="10.54296875" style="14" customWidth="1"/>
    <col min="10498" max="10498" width="54.1796875" style="14" customWidth="1"/>
    <col min="10499" max="10499" width="7.81640625" style="14" customWidth="1"/>
    <col min="10500" max="10500" width="7.7265625" style="14" customWidth="1"/>
    <col min="10501" max="10501" width="8.7265625" style="14" bestFit="1" customWidth="1"/>
    <col min="10502" max="10502" width="10.26953125" style="14" bestFit="1" customWidth="1"/>
    <col min="10503" max="10503" width="11" style="14" customWidth="1"/>
    <col min="10504" max="10504" width="8.81640625" style="14" customWidth="1"/>
    <col min="10505" max="10505" width="10.81640625" style="14" customWidth="1"/>
    <col min="10506" max="10506" width="8.81640625" style="14" customWidth="1"/>
    <col min="10507" max="10507" width="10.54296875" style="14" customWidth="1"/>
    <col min="10508" max="10508" width="13.7265625" style="14" customWidth="1"/>
    <col min="10509" max="10509" width="12.81640625" style="14" customWidth="1"/>
    <col min="10510" max="10510" width="31.453125" style="14" customWidth="1"/>
    <col min="10511" max="10751" width="9.1796875" style="14"/>
    <col min="10752" max="10752" width="3.81640625" style="14" customWidth="1"/>
    <col min="10753" max="10753" width="10.54296875" style="14" customWidth="1"/>
    <col min="10754" max="10754" width="54.1796875" style="14" customWidth="1"/>
    <col min="10755" max="10755" width="7.81640625" style="14" customWidth="1"/>
    <col min="10756" max="10756" width="7.7265625" style="14" customWidth="1"/>
    <col min="10757" max="10757" width="8.7265625" style="14" bestFit="1" customWidth="1"/>
    <col min="10758" max="10758" width="10.26953125" style="14" bestFit="1" customWidth="1"/>
    <col min="10759" max="10759" width="11" style="14" customWidth="1"/>
    <col min="10760" max="10760" width="8.81640625" style="14" customWidth="1"/>
    <col min="10761" max="10761" width="10.81640625" style="14" customWidth="1"/>
    <col min="10762" max="10762" width="8.81640625" style="14" customWidth="1"/>
    <col min="10763" max="10763" width="10.54296875" style="14" customWidth="1"/>
    <col min="10764" max="10764" width="13.7265625" style="14" customWidth="1"/>
    <col min="10765" max="10765" width="12.81640625" style="14" customWidth="1"/>
    <col min="10766" max="10766" width="31.453125" style="14" customWidth="1"/>
    <col min="10767" max="11007" width="9.1796875" style="14"/>
    <col min="11008" max="11008" width="3.81640625" style="14" customWidth="1"/>
    <col min="11009" max="11009" width="10.54296875" style="14" customWidth="1"/>
    <col min="11010" max="11010" width="54.1796875" style="14" customWidth="1"/>
    <col min="11011" max="11011" width="7.81640625" style="14" customWidth="1"/>
    <col min="11012" max="11012" width="7.7265625" style="14" customWidth="1"/>
    <col min="11013" max="11013" width="8.7265625" style="14" bestFit="1" customWidth="1"/>
    <col min="11014" max="11014" width="10.26953125" style="14" bestFit="1" customWidth="1"/>
    <col min="11015" max="11015" width="11" style="14" customWidth="1"/>
    <col min="11016" max="11016" width="8.81640625" style="14" customWidth="1"/>
    <col min="11017" max="11017" width="10.81640625" style="14" customWidth="1"/>
    <col min="11018" max="11018" width="8.81640625" style="14" customWidth="1"/>
    <col min="11019" max="11019" width="10.54296875" style="14" customWidth="1"/>
    <col min="11020" max="11020" width="13.7265625" style="14" customWidth="1"/>
    <col min="11021" max="11021" width="12.81640625" style="14" customWidth="1"/>
    <col min="11022" max="11022" width="31.453125" style="14" customWidth="1"/>
    <col min="11023" max="11263" width="9.1796875" style="14"/>
    <col min="11264" max="11264" width="3.81640625" style="14" customWidth="1"/>
    <col min="11265" max="11265" width="10.54296875" style="14" customWidth="1"/>
    <col min="11266" max="11266" width="54.1796875" style="14" customWidth="1"/>
    <col min="11267" max="11267" width="7.81640625" style="14" customWidth="1"/>
    <col min="11268" max="11268" width="7.7265625" style="14" customWidth="1"/>
    <col min="11269" max="11269" width="8.7265625" style="14" bestFit="1" customWidth="1"/>
    <col min="11270" max="11270" width="10.26953125" style="14" bestFit="1" customWidth="1"/>
    <col min="11271" max="11271" width="11" style="14" customWidth="1"/>
    <col min="11272" max="11272" width="8.81640625" style="14" customWidth="1"/>
    <col min="11273" max="11273" width="10.81640625" style="14" customWidth="1"/>
    <col min="11274" max="11274" width="8.81640625" style="14" customWidth="1"/>
    <col min="11275" max="11275" width="10.54296875" style="14" customWidth="1"/>
    <col min="11276" max="11276" width="13.7265625" style="14" customWidth="1"/>
    <col min="11277" max="11277" width="12.81640625" style="14" customWidth="1"/>
    <col min="11278" max="11278" width="31.453125" style="14" customWidth="1"/>
    <col min="11279" max="11519" width="9.1796875" style="14"/>
    <col min="11520" max="11520" width="3.81640625" style="14" customWidth="1"/>
    <col min="11521" max="11521" width="10.54296875" style="14" customWidth="1"/>
    <col min="11522" max="11522" width="54.1796875" style="14" customWidth="1"/>
    <col min="11523" max="11523" width="7.81640625" style="14" customWidth="1"/>
    <col min="11524" max="11524" width="7.7265625" style="14" customWidth="1"/>
    <col min="11525" max="11525" width="8.7265625" style="14" bestFit="1" customWidth="1"/>
    <col min="11526" max="11526" width="10.26953125" style="14" bestFit="1" customWidth="1"/>
    <col min="11527" max="11527" width="11" style="14" customWidth="1"/>
    <col min="11528" max="11528" width="8.81640625" style="14" customWidth="1"/>
    <col min="11529" max="11529" width="10.81640625" style="14" customWidth="1"/>
    <col min="11530" max="11530" width="8.81640625" style="14" customWidth="1"/>
    <col min="11531" max="11531" width="10.54296875" style="14" customWidth="1"/>
    <col min="11532" max="11532" width="13.7265625" style="14" customWidth="1"/>
    <col min="11533" max="11533" width="12.81640625" style="14" customWidth="1"/>
    <col min="11534" max="11534" width="31.453125" style="14" customWidth="1"/>
    <col min="11535" max="11775" width="9.1796875" style="14"/>
    <col min="11776" max="11776" width="3.81640625" style="14" customWidth="1"/>
    <col min="11777" max="11777" width="10.54296875" style="14" customWidth="1"/>
    <col min="11778" max="11778" width="54.1796875" style="14" customWidth="1"/>
    <col min="11779" max="11779" width="7.81640625" style="14" customWidth="1"/>
    <col min="11780" max="11780" width="7.7265625" style="14" customWidth="1"/>
    <col min="11781" max="11781" width="8.7265625" style="14" bestFit="1" customWidth="1"/>
    <col min="11782" max="11782" width="10.26953125" style="14" bestFit="1" customWidth="1"/>
    <col min="11783" max="11783" width="11" style="14" customWidth="1"/>
    <col min="11784" max="11784" width="8.81640625" style="14" customWidth="1"/>
    <col min="11785" max="11785" width="10.81640625" style="14" customWidth="1"/>
    <col min="11786" max="11786" width="8.81640625" style="14" customWidth="1"/>
    <col min="11787" max="11787" width="10.54296875" style="14" customWidth="1"/>
    <col min="11788" max="11788" width="13.7265625" style="14" customWidth="1"/>
    <col min="11789" max="11789" width="12.81640625" style="14" customWidth="1"/>
    <col min="11790" max="11790" width="31.453125" style="14" customWidth="1"/>
    <col min="11791" max="12031" width="9.1796875" style="14"/>
    <col min="12032" max="12032" width="3.81640625" style="14" customWidth="1"/>
    <col min="12033" max="12033" width="10.54296875" style="14" customWidth="1"/>
    <col min="12034" max="12034" width="54.1796875" style="14" customWidth="1"/>
    <col min="12035" max="12035" width="7.81640625" style="14" customWidth="1"/>
    <col min="12036" max="12036" width="7.7265625" style="14" customWidth="1"/>
    <col min="12037" max="12037" width="8.7265625" style="14" bestFit="1" customWidth="1"/>
    <col min="12038" max="12038" width="10.26953125" style="14" bestFit="1" customWidth="1"/>
    <col min="12039" max="12039" width="11" style="14" customWidth="1"/>
    <col min="12040" max="12040" width="8.81640625" style="14" customWidth="1"/>
    <col min="12041" max="12041" width="10.81640625" style="14" customWidth="1"/>
    <col min="12042" max="12042" width="8.81640625" style="14" customWidth="1"/>
    <col min="12043" max="12043" width="10.54296875" style="14" customWidth="1"/>
    <col min="12044" max="12044" width="13.7265625" style="14" customWidth="1"/>
    <col min="12045" max="12045" width="12.81640625" style="14" customWidth="1"/>
    <col min="12046" max="12046" width="31.453125" style="14" customWidth="1"/>
    <col min="12047" max="12287" width="9.1796875" style="14"/>
    <col min="12288" max="12288" width="3.81640625" style="14" customWidth="1"/>
    <col min="12289" max="12289" width="10.54296875" style="14" customWidth="1"/>
    <col min="12290" max="12290" width="54.1796875" style="14" customWidth="1"/>
    <col min="12291" max="12291" width="7.81640625" style="14" customWidth="1"/>
    <col min="12292" max="12292" width="7.7265625" style="14" customWidth="1"/>
    <col min="12293" max="12293" width="8.7265625" style="14" bestFit="1" customWidth="1"/>
    <col min="12294" max="12294" width="10.26953125" style="14" bestFit="1" customWidth="1"/>
    <col min="12295" max="12295" width="11" style="14" customWidth="1"/>
    <col min="12296" max="12296" width="8.81640625" style="14" customWidth="1"/>
    <col min="12297" max="12297" width="10.81640625" style="14" customWidth="1"/>
    <col min="12298" max="12298" width="8.81640625" style="14" customWidth="1"/>
    <col min="12299" max="12299" width="10.54296875" style="14" customWidth="1"/>
    <col min="12300" max="12300" width="13.7265625" style="14" customWidth="1"/>
    <col min="12301" max="12301" width="12.81640625" style="14" customWidth="1"/>
    <col min="12302" max="12302" width="31.453125" style="14" customWidth="1"/>
    <col min="12303" max="12543" width="9.1796875" style="14"/>
    <col min="12544" max="12544" width="3.81640625" style="14" customWidth="1"/>
    <col min="12545" max="12545" width="10.54296875" style="14" customWidth="1"/>
    <col min="12546" max="12546" width="54.1796875" style="14" customWidth="1"/>
    <col min="12547" max="12547" width="7.81640625" style="14" customWidth="1"/>
    <col min="12548" max="12548" width="7.7265625" style="14" customWidth="1"/>
    <col min="12549" max="12549" width="8.7265625" style="14" bestFit="1" customWidth="1"/>
    <col min="12550" max="12550" width="10.26953125" style="14" bestFit="1" customWidth="1"/>
    <col min="12551" max="12551" width="11" style="14" customWidth="1"/>
    <col min="12552" max="12552" width="8.81640625" style="14" customWidth="1"/>
    <col min="12553" max="12553" width="10.81640625" style="14" customWidth="1"/>
    <col min="12554" max="12554" width="8.81640625" style="14" customWidth="1"/>
    <col min="12555" max="12555" width="10.54296875" style="14" customWidth="1"/>
    <col min="12556" max="12556" width="13.7265625" style="14" customWidth="1"/>
    <col min="12557" max="12557" width="12.81640625" style="14" customWidth="1"/>
    <col min="12558" max="12558" width="31.453125" style="14" customWidth="1"/>
    <col min="12559" max="12799" width="9.1796875" style="14"/>
    <col min="12800" max="12800" width="3.81640625" style="14" customWidth="1"/>
    <col min="12801" max="12801" width="10.54296875" style="14" customWidth="1"/>
    <col min="12802" max="12802" width="54.1796875" style="14" customWidth="1"/>
    <col min="12803" max="12803" width="7.81640625" style="14" customWidth="1"/>
    <col min="12804" max="12804" width="7.7265625" style="14" customWidth="1"/>
    <col min="12805" max="12805" width="8.7265625" style="14" bestFit="1" customWidth="1"/>
    <col min="12806" max="12806" width="10.26953125" style="14" bestFit="1" customWidth="1"/>
    <col min="12807" max="12807" width="11" style="14" customWidth="1"/>
    <col min="12808" max="12808" width="8.81640625" style="14" customWidth="1"/>
    <col min="12809" max="12809" width="10.81640625" style="14" customWidth="1"/>
    <col min="12810" max="12810" width="8.81640625" style="14" customWidth="1"/>
    <col min="12811" max="12811" width="10.54296875" style="14" customWidth="1"/>
    <col min="12812" max="12812" width="13.7265625" style="14" customWidth="1"/>
    <col min="12813" max="12813" width="12.81640625" style="14" customWidth="1"/>
    <col min="12814" max="12814" width="31.453125" style="14" customWidth="1"/>
    <col min="12815" max="13055" width="9.1796875" style="14"/>
    <col min="13056" max="13056" width="3.81640625" style="14" customWidth="1"/>
    <col min="13057" max="13057" width="10.54296875" style="14" customWidth="1"/>
    <col min="13058" max="13058" width="54.1796875" style="14" customWidth="1"/>
    <col min="13059" max="13059" width="7.81640625" style="14" customWidth="1"/>
    <col min="13060" max="13060" width="7.7265625" style="14" customWidth="1"/>
    <col min="13061" max="13061" width="8.7265625" style="14" bestFit="1" customWidth="1"/>
    <col min="13062" max="13062" width="10.26953125" style="14" bestFit="1" customWidth="1"/>
    <col min="13063" max="13063" width="11" style="14" customWidth="1"/>
    <col min="13064" max="13064" width="8.81640625" style="14" customWidth="1"/>
    <col min="13065" max="13065" width="10.81640625" style="14" customWidth="1"/>
    <col min="13066" max="13066" width="8.81640625" style="14" customWidth="1"/>
    <col min="13067" max="13067" width="10.54296875" style="14" customWidth="1"/>
    <col min="13068" max="13068" width="13.7265625" style="14" customWidth="1"/>
    <col min="13069" max="13069" width="12.81640625" style="14" customWidth="1"/>
    <col min="13070" max="13070" width="31.453125" style="14" customWidth="1"/>
    <col min="13071" max="13311" width="9.1796875" style="14"/>
    <col min="13312" max="13312" width="3.81640625" style="14" customWidth="1"/>
    <col min="13313" max="13313" width="10.54296875" style="14" customWidth="1"/>
    <col min="13314" max="13314" width="54.1796875" style="14" customWidth="1"/>
    <col min="13315" max="13315" width="7.81640625" style="14" customWidth="1"/>
    <col min="13316" max="13316" width="7.7265625" style="14" customWidth="1"/>
    <col min="13317" max="13317" width="8.7265625" style="14" bestFit="1" customWidth="1"/>
    <col min="13318" max="13318" width="10.26953125" style="14" bestFit="1" customWidth="1"/>
    <col min="13319" max="13319" width="11" style="14" customWidth="1"/>
    <col min="13320" max="13320" width="8.81640625" style="14" customWidth="1"/>
    <col min="13321" max="13321" width="10.81640625" style="14" customWidth="1"/>
    <col min="13322" max="13322" width="8.81640625" style="14" customWidth="1"/>
    <col min="13323" max="13323" width="10.54296875" style="14" customWidth="1"/>
    <col min="13324" max="13324" width="13.7265625" style="14" customWidth="1"/>
    <col min="13325" max="13325" width="12.81640625" style="14" customWidth="1"/>
    <col min="13326" max="13326" width="31.453125" style="14" customWidth="1"/>
    <col min="13327" max="13567" width="9.1796875" style="14"/>
    <col min="13568" max="13568" width="3.81640625" style="14" customWidth="1"/>
    <col min="13569" max="13569" width="10.54296875" style="14" customWidth="1"/>
    <col min="13570" max="13570" width="54.1796875" style="14" customWidth="1"/>
    <col min="13571" max="13571" width="7.81640625" style="14" customWidth="1"/>
    <col min="13572" max="13572" width="7.7265625" style="14" customWidth="1"/>
    <col min="13573" max="13573" width="8.7265625" style="14" bestFit="1" customWidth="1"/>
    <col min="13574" max="13574" width="10.26953125" style="14" bestFit="1" customWidth="1"/>
    <col min="13575" max="13575" width="11" style="14" customWidth="1"/>
    <col min="13576" max="13576" width="8.81640625" style="14" customWidth="1"/>
    <col min="13577" max="13577" width="10.81640625" style="14" customWidth="1"/>
    <col min="13578" max="13578" width="8.81640625" style="14" customWidth="1"/>
    <col min="13579" max="13579" width="10.54296875" style="14" customWidth="1"/>
    <col min="13580" max="13580" width="13.7265625" style="14" customWidth="1"/>
    <col min="13581" max="13581" width="12.81640625" style="14" customWidth="1"/>
    <col min="13582" max="13582" width="31.453125" style="14" customWidth="1"/>
    <col min="13583" max="13823" width="9.1796875" style="14"/>
    <col min="13824" max="13824" width="3.81640625" style="14" customWidth="1"/>
    <col min="13825" max="13825" width="10.54296875" style="14" customWidth="1"/>
    <col min="13826" max="13826" width="54.1796875" style="14" customWidth="1"/>
    <col min="13827" max="13827" width="7.81640625" style="14" customWidth="1"/>
    <col min="13828" max="13828" width="7.7265625" style="14" customWidth="1"/>
    <col min="13829" max="13829" width="8.7265625" style="14" bestFit="1" customWidth="1"/>
    <col min="13830" max="13830" width="10.26953125" style="14" bestFit="1" customWidth="1"/>
    <col min="13831" max="13831" width="11" style="14" customWidth="1"/>
    <col min="13832" max="13832" width="8.81640625" style="14" customWidth="1"/>
    <col min="13833" max="13833" width="10.81640625" style="14" customWidth="1"/>
    <col min="13834" max="13834" width="8.81640625" style="14" customWidth="1"/>
    <col min="13835" max="13835" width="10.54296875" style="14" customWidth="1"/>
    <col min="13836" max="13836" width="13.7265625" style="14" customWidth="1"/>
    <col min="13837" max="13837" width="12.81640625" style="14" customWidth="1"/>
    <col min="13838" max="13838" width="31.453125" style="14" customWidth="1"/>
    <col min="13839" max="14079" width="9.1796875" style="14"/>
    <col min="14080" max="14080" width="3.81640625" style="14" customWidth="1"/>
    <col min="14081" max="14081" width="10.54296875" style="14" customWidth="1"/>
    <col min="14082" max="14082" width="54.1796875" style="14" customWidth="1"/>
    <col min="14083" max="14083" width="7.81640625" style="14" customWidth="1"/>
    <col min="14084" max="14084" width="7.7265625" style="14" customWidth="1"/>
    <col min="14085" max="14085" width="8.7265625" style="14" bestFit="1" customWidth="1"/>
    <col min="14086" max="14086" width="10.26953125" style="14" bestFit="1" customWidth="1"/>
    <col min="14087" max="14087" width="11" style="14" customWidth="1"/>
    <col min="14088" max="14088" width="8.81640625" style="14" customWidth="1"/>
    <col min="14089" max="14089" width="10.81640625" style="14" customWidth="1"/>
    <col min="14090" max="14090" width="8.81640625" style="14" customWidth="1"/>
    <col min="14091" max="14091" width="10.54296875" style="14" customWidth="1"/>
    <col min="14092" max="14092" width="13.7265625" style="14" customWidth="1"/>
    <col min="14093" max="14093" width="12.81640625" style="14" customWidth="1"/>
    <col min="14094" max="14094" width="31.453125" style="14" customWidth="1"/>
    <col min="14095" max="14335" width="9.1796875" style="14"/>
    <col min="14336" max="14336" width="3.81640625" style="14" customWidth="1"/>
    <col min="14337" max="14337" width="10.54296875" style="14" customWidth="1"/>
    <col min="14338" max="14338" width="54.1796875" style="14" customWidth="1"/>
    <col min="14339" max="14339" width="7.81640625" style="14" customWidth="1"/>
    <col min="14340" max="14340" width="7.7265625" style="14" customWidth="1"/>
    <col min="14341" max="14341" width="8.7265625" style="14" bestFit="1" customWidth="1"/>
    <col min="14342" max="14342" width="10.26953125" style="14" bestFit="1" customWidth="1"/>
    <col min="14343" max="14343" width="11" style="14" customWidth="1"/>
    <col min="14344" max="14344" width="8.81640625" style="14" customWidth="1"/>
    <col min="14345" max="14345" width="10.81640625" style="14" customWidth="1"/>
    <col min="14346" max="14346" width="8.81640625" style="14" customWidth="1"/>
    <col min="14347" max="14347" width="10.54296875" style="14" customWidth="1"/>
    <col min="14348" max="14348" width="13.7265625" style="14" customWidth="1"/>
    <col min="14349" max="14349" width="12.81640625" style="14" customWidth="1"/>
    <col min="14350" max="14350" width="31.453125" style="14" customWidth="1"/>
    <col min="14351" max="14591" width="9.1796875" style="14"/>
    <col min="14592" max="14592" width="3.81640625" style="14" customWidth="1"/>
    <col min="14593" max="14593" width="10.54296875" style="14" customWidth="1"/>
    <col min="14594" max="14594" width="54.1796875" style="14" customWidth="1"/>
    <col min="14595" max="14595" width="7.81640625" style="14" customWidth="1"/>
    <col min="14596" max="14596" width="7.7265625" style="14" customWidth="1"/>
    <col min="14597" max="14597" width="8.7265625" style="14" bestFit="1" customWidth="1"/>
    <col min="14598" max="14598" width="10.26953125" style="14" bestFit="1" customWidth="1"/>
    <col min="14599" max="14599" width="11" style="14" customWidth="1"/>
    <col min="14600" max="14600" width="8.81640625" style="14" customWidth="1"/>
    <col min="14601" max="14601" width="10.81640625" style="14" customWidth="1"/>
    <col min="14602" max="14602" width="8.81640625" style="14" customWidth="1"/>
    <col min="14603" max="14603" width="10.54296875" style="14" customWidth="1"/>
    <col min="14604" max="14604" width="13.7265625" style="14" customWidth="1"/>
    <col min="14605" max="14605" width="12.81640625" style="14" customWidth="1"/>
    <col min="14606" max="14606" width="31.453125" style="14" customWidth="1"/>
    <col min="14607" max="14847" width="9.1796875" style="14"/>
    <col min="14848" max="14848" width="3.81640625" style="14" customWidth="1"/>
    <col min="14849" max="14849" width="10.54296875" style="14" customWidth="1"/>
    <col min="14850" max="14850" width="54.1796875" style="14" customWidth="1"/>
    <col min="14851" max="14851" width="7.81640625" style="14" customWidth="1"/>
    <col min="14852" max="14852" width="7.7265625" style="14" customWidth="1"/>
    <col min="14853" max="14853" width="8.7265625" style="14" bestFit="1" customWidth="1"/>
    <col min="14854" max="14854" width="10.26953125" style="14" bestFit="1" customWidth="1"/>
    <col min="14855" max="14855" width="11" style="14" customWidth="1"/>
    <col min="14856" max="14856" width="8.81640625" style="14" customWidth="1"/>
    <col min="14857" max="14857" width="10.81640625" style="14" customWidth="1"/>
    <col min="14858" max="14858" width="8.81640625" style="14" customWidth="1"/>
    <col min="14859" max="14859" width="10.54296875" style="14" customWidth="1"/>
    <col min="14860" max="14860" width="13.7265625" style="14" customWidth="1"/>
    <col min="14861" max="14861" width="12.81640625" style="14" customWidth="1"/>
    <col min="14862" max="14862" width="31.453125" style="14" customWidth="1"/>
    <col min="14863" max="15103" width="9.1796875" style="14"/>
    <col min="15104" max="15104" width="3.81640625" style="14" customWidth="1"/>
    <col min="15105" max="15105" width="10.54296875" style="14" customWidth="1"/>
    <col min="15106" max="15106" width="54.1796875" style="14" customWidth="1"/>
    <col min="15107" max="15107" width="7.81640625" style="14" customWidth="1"/>
    <col min="15108" max="15108" width="7.7265625" style="14" customWidth="1"/>
    <col min="15109" max="15109" width="8.7265625" style="14" bestFit="1" customWidth="1"/>
    <col min="15110" max="15110" width="10.26953125" style="14" bestFit="1" customWidth="1"/>
    <col min="15111" max="15111" width="11" style="14" customWidth="1"/>
    <col min="15112" max="15112" width="8.81640625" style="14" customWidth="1"/>
    <col min="15113" max="15113" width="10.81640625" style="14" customWidth="1"/>
    <col min="15114" max="15114" width="8.81640625" style="14" customWidth="1"/>
    <col min="15115" max="15115" width="10.54296875" style="14" customWidth="1"/>
    <col min="15116" max="15116" width="13.7265625" style="14" customWidth="1"/>
    <col min="15117" max="15117" width="12.81640625" style="14" customWidth="1"/>
    <col min="15118" max="15118" width="31.453125" style="14" customWidth="1"/>
    <col min="15119" max="15359" width="9.1796875" style="14"/>
    <col min="15360" max="15360" width="3.81640625" style="14" customWidth="1"/>
    <col min="15361" max="15361" width="10.54296875" style="14" customWidth="1"/>
    <col min="15362" max="15362" width="54.1796875" style="14" customWidth="1"/>
    <col min="15363" max="15363" width="7.81640625" style="14" customWidth="1"/>
    <col min="15364" max="15364" width="7.7265625" style="14" customWidth="1"/>
    <col min="15365" max="15365" width="8.7265625" style="14" bestFit="1" customWidth="1"/>
    <col min="15366" max="15366" width="10.26953125" style="14" bestFit="1" customWidth="1"/>
    <col min="15367" max="15367" width="11" style="14" customWidth="1"/>
    <col min="15368" max="15368" width="8.81640625" style="14" customWidth="1"/>
    <col min="15369" max="15369" width="10.81640625" style="14" customWidth="1"/>
    <col min="15370" max="15370" width="8.81640625" style="14" customWidth="1"/>
    <col min="15371" max="15371" width="10.54296875" style="14" customWidth="1"/>
    <col min="15372" max="15372" width="13.7265625" style="14" customWidth="1"/>
    <col min="15373" max="15373" width="12.81640625" style="14" customWidth="1"/>
    <col min="15374" max="15374" width="31.453125" style="14" customWidth="1"/>
    <col min="15375" max="15615" width="9.1796875" style="14"/>
    <col min="15616" max="15616" width="3.81640625" style="14" customWidth="1"/>
    <col min="15617" max="15617" width="10.54296875" style="14" customWidth="1"/>
    <col min="15618" max="15618" width="54.1796875" style="14" customWidth="1"/>
    <col min="15619" max="15619" width="7.81640625" style="14" customWidth="1"/>
    <col min="15620" max="15620" width="7.7265625" style="14" customWidth="1"/>
    <col min="15621" max="15621" width="8.7265625" style="14" bestFit="1" customWidth="1"/>
    <col min="15622" max="15622" width="10.26953125" style="14" bestFit="1" customWidth="1"/>
    <col min="15623" max="15623" width="11" style="14" customWidth="1"/>
    <col min="15624" max="15624" width="8.81640625" style="14" customWidth="1"/>
    <col min="15625" max="15625" width="10.81640625" style="14" customWidth="1"/>
    <col min="15626" max="15626" width="8.81640625" style="14" customWidth="1"/>
    <col min="15627" max="15627" width="10.54296875" style="14" customWidth="1"/>
    <col min="15628" max="15628" width="13.7265625" style="14" customWidth="1"/>
    <col min="15629" max="15629" width="12.81640625" style="14" customWidth="1"/>
    <col min="15630" max="15630" width="31.453125" style="14" customWidth="1"/>
    <col min="15631" max="15871" width="9.1796875" style="14"/>
    <col min="15872" max="15872" width="3.81640625" style="14" customWidth="1"/>
    <col min="15873" max="15873" width="10.54296875" style="14" customWidth="1"/>
    <col min="15874" max="15874" width="54.1796875" style="14" customWidth="1"/>
    <col min="15875" max="15875" width="7.81640625" style="14" customWidth="1"/>
    <col min="15876" max="15876" width="7.7265625" style="14" customWidth="1"/>
    <col min="15877" max="15877" width="8.7265625" style="14" bestFit="1" customWidth="1"/>
    <col min="15878" max="15878" width="10.26953125" style="14" bestFit="1" customWidth="1"/>
    <col min="15879" max="15879" width="11" style="14" customWidth="1"/>
    <col min="15880" max="15880" width="8.81640625" style="14" customWidth="1"/>
    <col min="15881" max="15881" width="10.81640625" style="14" customWidth="1"/>
    <col min="15882" max="15882" width="8.81640625" style="14" customWidth="1"/>
    <col min="15883" max="15883" width="10.54296875" style="14" customWidth="1"/>
    <col min="15884" max="15884" width="13.7265625" style="14" customWidth="1"/>
    <col min="15885" max="15885" width="12.81640625" style="14" customWidth="1"/>
    <col min="15886" max="15886" width="31.453125" style="14" customWidth="1"/>
    <col min="15887" max="16127" width="9.1796875" style="14"/>
    <col min="16128" max="16128" width="3.81640625" style="14" customWidth="1"/>
    <col min="16129" max="16129" width="10.54296875" style="14" customWidth="1"/>
    <col min="16130" max="16130" width="54.1796875" style="14" customWidth="1"/>
    <col min="16131" max="16131" width="7.81640625" style="14" customWidth="1"/>
    <col min="16132" max="16132" width="7.7265625" style="14" customWidth="1"/>
    <col min="16133" max="16133" width="8.7265625" style="14" bestFit="1" customWidth="1"/>
    <col min="16134" max="16134" width="10.26953125" style="14" bestFit="1" customWidth="1"/>
    <col min="16135" max="16135" width="11" style="14" customWidth="1"/>
    <col min="16136" max="16136" width="8.81640625" style="14" customWidth="1"/>
    <col min="16137" max="16137" width="10.81640625" style="14" customWidth="1"/>
    <col min="16138" max="16138" width="8.81640625" style="14" customWidth="1"/>
    <col min="16139" max="16139" width="10.54296875" style="14" customWidth="1"/>
    <col min="16140" max="16140" width="13.7265625" style="14" customWidth="1"/>
    <col min="16141" max="16141" width="12.81640625" style="14" customWidth="1"/>
    <col min="16142" max="16142" width="31.453125" style="14" customWidth="1"/>
    <col min="16143" max="16384" width="9.1796875" style="14"/>
  </cols>
  <sheetData>
    <row r="1" spans="1:18" s="289" customFormat="1" ht="51" customHeight="1">
      <c r="A1" s="475" t="s">
        <v>199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M1" s="450"/>
    </row>
    <row r="2" spans="1:18" s="289" customFormat="1" ht="51" customHeight="1">
      <c r="A2" s="475" t="str">
        <f>ნაერთი!A4</f>
        <v>ქ. გორი, ცხინვალის გზატკეცილის მე-2 კილომეტრი (ს/ნ: 66.46.07.495) - ავერსის კლინიკის შენობა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  <c r="M2" s="450"/>
    </row>
    <row r="3" spans="1:18" s="289" customFormat="1" ht="51" customHeight="1">
      <c r="A3" s="475" t="s">
        <v>198</v>
      </c>
      <c r="B3" s="475"/>
      <c r="C3" s="475"/>
      <c r="D3" s="475"/>
      <c r="E3" s="475"/>
      <c r="F3" s="475"/>
      <c r="G3" s="475"/>
      <c r="H3" s="475"/>
      <c r="I3" s="475"/>
      <c r="J3" s="475"/>
      <c r="K3" s="475"/>
      <c r="M3" s="450"/>
    </row>
    <row r="4" spans="1:18" s="1" customFormat="1" ht="42" customHeight="1">
      <c r="A4" s="477"/>
      <c r="B4" s="477"/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450"/>
    </row>
    <row r="5" spans="1:18" s="1" customFormat="1" ht="19.5" customHeight="1">
      <c r="A5" s="478"/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50"/>
    </row>
    <row r="6" spans="1:18" s="1" customFormat="1" ht="9" customHeight="1">
      <c r="A6" s="32"/>
      <c r="B6" s="3"/>
      <c r="C6" s="4"/>
      <c r="D6" s="51"/>
      <c r="E6" s="103"/>
      <c r="F6" s="96"/>
      <c r="G6" s="96"/>
      <c r="H6" s="109"/>
      <c r="I6" s="96"/>
      <c r="J6" s="96"/>
      <c r="K6" s="96"/>
      <c r="L6" s="96"/>
      <c r="M6" s="450"/>
    </row>
    <row r="7" spans="1:18" s="1" customFormat="1" ht="15" customHeight="1">
      <c r="A7" s="33"/>
      <c r="B7" s="18"/>
      <c r="C7" s="4"/>
      <c r="D7" s="51"/>
      <c r="E7" s="104"/>
      <c r="F7" s="97"/>
      <c r="G7" s="97"/>
      <c r="H7" s="110"/>
      <c r="I7" s="97"/>
      <c r="J7" s="97"/>
      <c r="K7" s="97"/>
      <c r="L7" s="97"/>
      <c r="M7" s="450"/>
    </row>
    <row r="8" spans="1:18" s="66" customFormat="1" ht="63" customHeight="1">
      <c r="A8" s="479" t="s">
        <v>0</v>
      </c>
      <c r="B8" s="480" t="s">
        <v>1</v>
      </c>
      <c r="C8" s="479" t="s">
        <v>20</v>
      </c>
      <c r="D8" s="481" t="s">
        <v>19</v>
      </c>
      <c r="E8" s="482" t="s">
        <v>2</v>
      </c>
      <c r="F8" s="476" t="s">
        <v>3</v>
      </c>
      <c r="G8" s="476"/>
      <c r="H8" s="476" t="s">
        <v>4</v>
      </c>
      <c r="I8" s="476"/>
      <c r="J8" s="476" t="s">
        <v>5</v>
      </c>
      <c r="K8" s="476"/>
      <c r="L8" s="476" t="s">
        <v>70</v>
      </c>
      <c r="M8" s="450"/>
    </row>
    <row r="9" spans="1:18" s="66" customFormat="1" ht="54.75" customHeight="1">
      <c r="A9" s="479"/>
      <c r="B9" s="480"/>
      <c r="C9" s="479"/>
      <c r="D9" s="481"/>
      <c r="E9" s="482"/>
      <c r="F9" s="113" t="s">
        <v>6</v>
      </c>
      <c r="G9" s="114" t="s">
        <v>7</v>
      </c>
      <c r="H9" s="115" t="s">
        <v>6</v>
      </c>
      <c r="I9" s="114" t="s">
        <v>7</v>
      </c>
      <c r="J9" s="113" t="s">
        <v>6</v>
      </c>
      <c r="K9" s="114" t="s">
        <v>7</v>
      </c>
      <c r="L9" s="476"/>
      <c r="M9" s="450"/>
    </row>
    <row r="10" spans="1:18" s="401" customFormat="1" ht="27.75" customHeight="1">
      <c r="A10" s="399">
        <v>1</v>
      </c>
      <c r="B10" s="399">
        <v>2</v>
      </c>
      <c r="C10" s="399">
        <v>3</v>
      </c>
      <c r="D10" s="399">
        <v>4</v>
      </c>
      <c r="E10" s="400">
        <v>5</v>
      </c>
      <c r="F10" s="400">
        <v>6</v>
      </c>
      <c r="G10" s="400">
        <v>7</v>
      </c>
      <c r="H10" s="400">
        <v>8</v>
      </c>
      <c r="I10" s="400">
        <v>9</v>
      </c>
      <c r="J10" s="400">
        <v>10</v>
      </c>
      <c r="K10" s="400">
        <v>11</v>
      </c>
      <c r="L10" s="400">
        <v>12</v>
      </c>
      <c r="M10" s="450"/>
    </row>
    <row r="11" spans="1:18" s="21" customFormat="1" ht="27.75" customHeight="1">
      <c r="A11" s="20"/>
      <c r="B11" s="77" t="s">
        <v>16</v>
      </c>
      <c r="C11" s="67"/>
      <c r="D11" s="68"/>
      <c r="E11" s="60"/>
      <c r="F11" s="58"/>
      <c r="G11" s="58"/>
      <c r="H11" s="111"/>
      <c r="I11" s="58"/>
      <c r="J11" s="58"/>
      <c r="K11" s="58"/>
      <c r="L11" s="58"/>
      <c r="M11" s="450"/>
    </row>
    <row r="12" spans="1:18" s="21" customFormat="1" ht="29">
      <c r="A12" s="80">
        <v>1</v>
      </c>
      <c r="B12" s="81" t="s">
        <v>23</v>
      </c>
      <c r="C12" s="82" t="s">
        <v>28</v>
      </c>
      <c r="D12" s="83"/>
      <c r="E12" s="83">
        <f>('მოცულობები - ტერიტ.'!C4+'მოცულობები - ტერიტ.'!C5+'მოცულობები - ტერიტ.'!C6+'მოცულობები - ტერიტ.'!C7)*0.5</f>
        <v>2185.6</v>
      </c>
      <c r="F12" s="62"/>
      <c r="G12" s="62"/>
      <c r="H12" s="112"/>
      <c r="I12" s="62"/>
      <c r="J12" s="62"/>
      <c r="K12" s="62"/>
      <c r="L12" s="62"/>
      <c r="M12" s="450"/>
    </row>
    <row r="13" spans="1:18" s="21" customFormat="1" ht="14.5">
      <c r="A13" s="20" t="s">
        <v>21</v>
      </c>
      <c r="B13" s="19" t="s">
        <v>17</v>
      </c>
      <c r="C13" s="58" t="s">
        <v>28</v>
      </c>
      <c r="D13" s="59">
        <v>1</v>
      </c>
      <c r="E13" s="59">
        <f>D13*E12</f>
        <v>2185.6</v>
      </c>
      <c r="F13" s="58"/>
      <c r="G13" s="58"/>
      <c r="H13" s="111"/>
      <c r="I13" s="58"/>
      <c r="J13" s="58"/>
      <c r="K13" s="58"/>
      <c r="L13" s="58"/>
      <c r="M13" s="450"/>
      <c r="N13" s="79"/>
      <c r="O13" s="79"/>
      <c r="P13" s="79"/>
      <c r="Q13" s="79"/>
      <c r="R13" s="79"/>
    </row>
    <row r="14" spans="1:18" s="21" customFormat="1" ht="14.5">
      <c r="A14" s="20" t="s">
        <v>21</v>
      </c>
      <c r="B14" s="19" t="s">
        <v>18</v>
      </c>
      <c r="C14" s="58" t="s">
        <v>28</v>
      </c>
      <c r="D14" s="59">
        <v>1</v>
      </c>
      <c r="E14" s="59">
        <f>D14*E12</f>
        <v>2185.6</v>
      </c>
      <c r="F14" s="58"/>
      <c r="G14" s="58"/>
      <c r="H14" s="111"/>
      <c r="I14" s="58"/>
      <c r="J14" s="58"/>
      <c r="K14" s="58"/>
      <c r="L14" s="58"/>
      <c r="M14" s="450"/>
      <c r="N14" s="79"/>
      <c r="O14" s="79"/>
      <c r="P14" s="79"/>
      <c r="Q14" s="79"/>
      <c r="R14" s="79"/>
    </row>
    <row r="15" spans="1:18" s="21" customFormat="1" ht="57" customHeight="1">
      <c r="A15" s="80">
        <f>A12+1</f>
        <v>2</v>
      </c>
      <c r="B15" s="81" t="s">
        <v>22</v>
      </c>
      <c r="C15" s="82" t="s">
        <v>28</v>
      </c>
      <c r="D15" s="83"/>
      <c r="E15" s="451">
        <f>E12*5%</f>
        <v>109.28</v>
      </c>
      <c r="F15" s="62"/>
      <c r="G15" s="62"/>
      <c r="H15" s="112"/>
      <c r="I15" s="62"/>
      <c r="J15" s="62"/>
      <c r="K15" s="62"/>
      <c r="L15" s="62"/>
      <c r="M15" s="450"/>
      <c r="N15" s="79"/>
      <c r="O15" s="79"/>
      <c r="P15" s="79"/>
      <c r="Q15" s="79"/>
      <c r="R15" s="79"/>
    </row>
    <row r="16" spans="1:18" s="21" customFormat="1" ht="28.5" customHeight="1">
      <c r="A16" s="20"/>
      <c r="B16" s="77" t="s">
        <v>43</v>
      </c>
      <c r="C16" s="62"/>
      <c r="D16" s="59"/>
      <c r="E16" s="60"/>
      <c r="F16" s="58"/>
      <c r="G16" s="58"/>
      <c r="H16" s="111"/>
      <c r="I16" s="58"/>
      <c r="J16" s="58"/>
      <c r="K16" s="58"/>
      <c r="L16" s="58"/>
      <c r="M16" s="450"/>
      <c r="N16" s="79"/>
      <c r="O16" s="79"/>
      <c r="P16" s="79"/>
      <c r="Q16" s="79"/>
      <c r="R16" s="79"/>
    </row>
    <row r="17" spans="1:18" s="22" customFormat="1" ht="43.5" customHeight="1">
      <c r="A17" s="80">
        <f>A15+1</f>
        <v>3</v>
      </c>
      <c r="B17" s="84" t="s">
        <v>27</v>
      </c>
      <c r="C17" s="82" t="s">
        <v>28</v>
      </c>
      <c r="D17" s="83"/>
      <c r="E17" s="83">
        <f>E31*0.3</f>
        <v>712.2600000000001</v>
      </c>
      <c r="F17" s="62"/>
      <c r="G17" s="62"/>
      <c r="H17" s="112"/>
      <c r="I17" s="62"/>
      <c r="J17" s="62"/>
      <c r="K17" s="62"/>
      <c r="L17" s="62"/>
      <c r="M17" s="450"/>
      <c r="N17" s="79"/>
      <c r="O17" s="79"/>
      <c r="P17" s="79"/>
      <c r="Q17" s="79"/>
      <c r="R17" s="79"/>
    </row>
    <row r="18" spans="1:18" s="21" customFormat="1" ht="14.5">
      <c r="A18" s="20" t="s">
        <v>21</v>
      </c>
      <c r="B18" s="57" t="s">
        <v>24</v>
      </c>
      <c r="C18" s="58" t="s">
        <v>28</v>
      </c>
      <c r="D18" s="59">
        <v>1</v>
      </c>
      <c r="E18" s="59">
        <f>D18*E17</f>
        <v>712.2600000000001</v>
      </c>
      <c r="F18" s="58"/>
      <c r="G18" s="58"/>
      <c r="H18" s="111"/>
      <c r="I18" s="58"/>
      <c r="J18" s="58"/>
      <c r="K18" s="58"/>
      <c r="L18" s="58"/>
      <c r="M18" s="450"/>
      <c r="N18" s="79"/>
      <c r="O18" s="79"/>
      <c r="P18" s="79"/>
      <c r="Q18" s="79"/>
      <c r="R18" s="79"/>
    </row>
    <row r="19" spans="1:18" s="21" customFormat="1" ht="14.5">
      <c r="A19" s="20" t="s">
        <v>21</v>
      </c>
      <c r="B19" s="61" t="s">
        <v>45</v>
      </c>
      <c r="C19" s="58" t="s">
        <v>38</v>
      </c>
      <c r="D19" s="85">
        <v>2.1600000000000001E-2</v>
      </c>
      <c r="E19" s="59">
        <f>D19*E17</f>
        <v>15.384816000000002</v>
      </c>
      <c r="F19" s="58"/>
      <c r="G19" s="58"/>
      <c r="H19" s="111"/>
      <c r="I19" s="58"/>
      <c r="J19" s="58"/>
      <c r="K19" s="58"/>
      <c r="L19" s="58"/>
      <c r="M19" s="450"/>
      <c r="N19" s="79"/>
      <c r="O19" s="79"/>
      <c r="P19" s="79"/>
      <c r="Q19" s="79"/>
      <c r="R19" s="79"/>
    </row>
    <row r="20" spans="1:18" s="21" customFormat="1" ht="14.5">
      <c r="A20" s="20" t="s">
        <v>21</v>
      </c>
      <c r="B20" s="61" t="s">
        <v>46</v>
      </c>
      <c r="C20" s="58" t="s">
        <v>38</v>
      </c>
      <c r="D20" s="85">
        <v>2.58E-2</v>
      </c>
      <c r="E20" s="59">
        <f>D20*E17</f>
        <v>18.376308000000002</v>
      </c>
      <c r="F20" s="58"/>
      <c r="G20" s="58"/>
      <c r="H20" s="111"/>
      <c r="I20" s="58"/>
      <c r="J20" s="58"/>
      <c r="K20" s="58"/>
      <c r="L20" s="58"/>
      <c r="M20" s="450"/>
      <c r="N20" s="79"/>
      <c r="O20" s="79"/>
      <c r="P20" s="79"/>
      <c r="Q20" s="79"/>
      <c r="R20" s="79"/>
    </row>
    <row r="21" spans="1:18" s="21" customFormat="1" ht="14.5">
      <c r="A21" s="20" t="s">
        <v>21</v>
      </c>
      <c r="B21" s="61" t="s">
        <v>44</v>
      </c>
      <c r="C21" s="58" t="s">
        <v>38</v>
      </c>
      <c r="D21" s="85">
        <v>2.7300000000000001E-2</v>
      </c>
      <c r="E21" s="59">
        <f>D21*E17</f>
        <v>19.444698000000002</v>
      </c>
      <c r="F21" s="58"/>
      <c r="G21" s="58"/>
      <c r="H21" s="111"/>
      <c r="I21" s="58"/>
      <c r="J21" s="58"/>
      <c r="K21" s="58"/>
      <c r="L21" s="58"/>
      <c r="M21" s="450"/>
      <c r="N21" s="79"/>
      <c r="O21" s="79"/>
      <c r="P21" s="79"/>
      <c r="Q21" s="79"/>
      <c r="R21" s="79"/>
    </row>
    <row r="22" spans="1:18" s="21" customFormat="1" ht="14.5">
      <c r="A22" s="20" t="s">
        <v>21</v>
      </c>
      <c r="B22" s="19" t="s">
        <v>66</v>
      </c>
      <c r="C22" s="58" t="s">
        <v>28</v>
      </c>
      <c r="D22" s="59">
        <v>1.22</v>
      </c>
      <c r="E22" s="59">
        <f>D22*E17</f>
        <v>868.95720000000006</v>
      </c>
      <c r="F22" s="58"/>
      <c r="G22" s="58"/>
      <c r="H22" s="111"/>
      <c r="I22" s="58"/>
      <c r="J22" s="58"/>
      <c r="K22" s="58"/>
      <c r="L22" s="58"/>
      <c r="M22" s="450"/>
      <c r="N22" s="79"/>
      <c r="O22" s="79"/>
      <c r="P22" s="79"/>
      <c r="Q22" s="79"/>
      <c r="R22" s="79"/>
    </row>
    <row r="23" spans="1:18" s="21" customFormat="1" ht="14.5">
      <c r="A23" s="20" t="s">
        <v>21</v>
      </c>
      <c r="B23" s="19" t="s">
        <v>31</v>
      </c>
      <c r="C23" s="58" t="s">
        <v>28</v>
      </c>
      <c r="D23" s="59">
        <v>1</v>
      </c>
      <c r="E23" s="59">
        <f>D23*E17</f>
        <v>712.2600000000001</v>
      </c>
      <c r="F23" s="58"/>
      <c r="G23" s="58"/>
      <c r="H23" s="111"/>
      <c r="I23" s="58"/>
      <c r="J23" s="58"/>
      <c r="K23" s="58"/>
      <c r="L23" s="58"/>
      <c r="M23" s="450"/>
      <c r="N23" s="79"/>
      <c r="O23" s="79"/>
      <c r="P23" s="79"/>
      <c r="Q23" s="79"/>
      <c r="R23" s="79"/>
    </row>
    <row r="24" spans="1:18" s="22" customFormat="1" ht="43.5">
      <c r="A24" s="80">
        <f>A17+1</f>
        <v>4</v>
      </c>
      <c r="B24" s="84" t="s">
        <v>26</v>
      </c>
      <c r="C24" s="82" t="s">
        <v>28</v>
      </c>
      <c r="D24" s="83"/>
      <c r="E24" s="83">
        <f>E31*0.2</f>
        <v>474.84000000000009</v>
      </c>
      <c r="F24" s="62"/>
      <c r="G24" s="62"/>
      <c r="H24" s="112"/>
      <c r="I24" s="62"/>
      <c r="J24" s="62"/>
      <c r="K24" s="62"/>
      <c r="L24" s="62"/>
      <c r="M24" s="450"/>
      <c r="N24" s="79"/>
      <c r="O24" s="79"/>
      <c r="P24" s="79"/>
      <c r="Q24" s="79"/>
      <c r="R24" s="79"/>
    </row>
    <row r="25" spans="1:18" s="21" customFormat="1" ht="14.5">
      <c r="A25" s="20" t="s">
        <v>21</v>
      </c>
      <c r="B25" s="57" t="s">
        <v>24</v>
      </c>
      <c r="C25" s="58" t="s">
        <v>28</v>
      </c>
      <c r="D25" s="59">
        <v>1</v>
      </c>
      <c r="E25" s="59">
        <f>D25*E24</f>
        <v>474.84000000000009</v>
      </c>
      <c r="F25" s="58"/>
      <c r="G25" s="58"/>
      <c r="H25" s="111"/>
      <c r="I25" s="58"/>
      <c r="J25" s="58"/>
      <c r="K25" s="58"/>
      <c r="L25" s="58"/>
      <c r="M25" s="450"/>
      <c r="N25" s="79"/>
      <c r="O25" s="79"/>
      <c r="P25" s="79"/>
      <c r="Q25" s="79"/>
      <c r="R25" s="79"/>
    </row>
    <row r="26" spans="1:18" s="21" customFormat="1" ht="14.5">
      <c r="A26" s="20" t="s">
        <v>21</v>
      </c>
      <c r="B26" s="61" t="s">
        <v>45</v>
      </c>
      <c r="C26" s="58" t="s">
        <v>38</v>
      </c>
      <c r="D26" s="85">
        <v>2.1600000000000001E-2</v>
      </c>
      <c r="E26" s="59">
        <f>D26*E24</f>
        <v>10.256544000000002</v>
      </c>
      <c r="F26" s="58"/>
      <c r="G26" s="58"/>
      <c r="H26" s="111"/>
      <c r="I26" s="58"/>
      <c r="J26" s="58"/>
      <c r="K26" s="58"/>
      <c r="L26" s="58"/>
      <c r="M26" s="450"/>
      <c r="N26" s="79"/>
      <c r="O26" s="79"/>
      <c r="P26" s="79"/>
      <c r="Q26" s="79"/>
      <c r="R26" s="79"/>
    </row>
    <row r="27" spans="1:18" s="21" customFormat="1" ht="14.5">
      <c r="A27" s="20" t="s">
        <v>21</v>
      </c>
      <c r="B27" s="61" t="s">
        <v>46</v>
      </c>
      <c r="C27" s="58" t="s">
        <v>38</v>
      </c>
      <c r="D27" s="85">
        <v>2.58E-2</v>
      </c>
      <c r="E27" s="59">
        <f>D27*E24</f>
        <v>12.250872000000003</v>
      </c>
      <c r="F27" s="58"/>
      <c r="G27" s="58"/>
      <c r="H27" s="111"/>
      <c r="I27" s="58"/>
      <c r="J27" s="58"/>
      <c r="K27" s="58"/>
      <c r="L27" s="58"/>
      <c r="M27" s="450"/>
      <c r="N27" s="79"/>
      <c r="O27" s="79"/>
      <c r="P27" s="79"/>
      <c r="Q27" s="79"/>
      <c r="R27" s="79"/>
    </row>
    <row r="28" spans="1:18" s="21" customFormat="1" ht="14.5">
      <c r="A28" s="20" t="s">
        <v>21</v>
      </c>
      <c r="B28" s="61" t="s">
        <v>47</v>
      </c>
      <c r="C28" s="58" t="s">
        <v>38</v>
      </c>
      <c r="D28" s="85">
        <v>2.7300000000000001E-2</v>
      </c>
      <c r="E28" s="59">
        <f>D28*E24</f>
        <v>12.963132000000003</v>
      </c>
      <c r="F28" s="58"/>
      <c r="G28" s="58"/>
      <c r="H28" s="111"/>
      <c r="I28" s="58"/>
      <c r="J28" s="58"/>
      <c r="K28" s="58"/>
      <c r="L28" s="58"/>
      <c r="M28" s="450"/>
      <c r="N28" s="79"/>
      <c r="O28" s="79"/>
      <c r="P28" s="79"/>
      <c r="Q28" s="79"/>
      <c r="R28" s="79"/>
    </row>
    <row r="29" spans="1:18" s="21" customFormat="1" ht="14.5">
      <c r="A29" s="20" t="s">
        <v>21</v>
      </c>
      <c r="B29" s="19" t="s">
        <v>25</v>
      </c>
      <c r="C29" s="58" t="s">
        <v>28</v>
      </c>
      <c r="D29" s="59">
        <v>1.22</v>
      </c>
      <c r="E29" s="59">
        <f>D29*E24</f>
        <v>579.30480000000011</v>
      </c>
      <c r="F29" s="58"/>
      <c r="G29" s="58"/>
      <c r="H29" s="111"/>
      <c r="I29" s="58"/>
      <c r="J29" s="58"/>
      <c r="K29" s="58"/>
      <c r="L29" s="58"/>
      <c r="M29" s="450"/>
      <c r="N29" s="79"/>
      <c r="O29" s="79"/>
      <c r="P29" s="79"/>
      <c r="Q29" s="79"/>
      <c r="R29" s="79"/>
    </row>
    <row r="30" spans="1:18" s="21" customFormat="1" ht="14.5">
      <c r="A30" s="20" t="s">
        <v>21</v>
      </c>
      <c r="B30" s="19" t="s">
        <v>31</v>
      </c>
      <c r="C30" s="58" t="s">
        <v>28</v>
      </c>
      <c r="D30" s="59">
        <v>1</v>
      </c>
      <c r="E30" s="59">
        <f>D30*E24</f>
        <v>474.84000000000009</v>
      </c>
      <c r="F30" s="58"/>
      <c r="G30" s="58"/>
      <c r="H30" s="111"/>
      <c r="I30" s="58"/>
      <c r="J30" s="58"/>
      <c r="K30" s="58"/>
      <c r="L30" s="58"/>
      <c r="M30" s="450"/>
      <c r="N30" s="79"/>
      <c r="O30" s="79"/>
      <c r="P30" s="79"/>
      <c r="Q30" s="79"/>
      <c r="R30" s="79"/>
    </row>
    <row r="31" spans="1:18" s="23" customFormat="1" ht="33.75" customHeight="1">
      <c r="A31" s="87">
        <f>A24+1</f>
        <v>5</v>
      </c>
      <c r="B31" s="88" t="s">
        <v>58</v>
      </c>
      <c r="C31" s="82" t="s">
        <v>39</v>
      </c>
      <c r="D31" s="83"/>
      <c r="E31" s="83">
        <f>'მოცულობები - ტერიტ.'!C6</f>
        <v>2374.2000000000003</v>
      </c>
      <c r="F31" s="62"/>
      <c r="G31" s="62"/>
      <c r="H31" s="112"/>
      <c r="I31" s="62"/>
      <c r="J31" s="62"/>
      <c r="K31" s="62"/>
      <c r="L31" s="62"/>
      <c r="M31" s="450"/>
      <c r="N31" s="79"/>
      <c r="O31" s="79"/>
      <c r="P31" s="79"/>
      <c r="Q31" s="79"/>
      <c r="R31" s="79"/>
    </row>
    <row r="32" spans="1:18" s="24" customFormat="1" ht="16">
      <c r="A32" s="31" t="s">
        <v>21</v>
      </c>
      <c r="B32" s="57" t="s">
        <v>24</v>
      </c>
      <c r="C32" s="58" t="s">
        <v>39</v>
      </c>
      <c r="D32" s="59">
        <v>1</v>
      </c>
      <c r="E32" s="59">
        <f>D32*E31</f>
        <v>2374.2000000000003</v>
      </c>
      <c r="F32" s="58"/>
      <c r="G32" s="58"/>
      <c r="H32" s="111"/>
      <c r="I32" s="58"/>
      <c r="J32" s="58"/>
      <c r="K32" s="58"/>
      <c r="L32" s="58"/>
      <c r="M32" s="450"/>
      <c r="N32" s="79"/>
      <c r="O32" s="79"/>
      <c r="P32" s="79"/>
      <c r="Q32" s="79"/>
      <c r="R32" s="79"/>
    </row>
    <row r="33" spans="1:18" s="24" customFormat="1" ht="18" customHeight="1">
      <c r="A33" s="31" t="s">
        <v>21</v>
      </c>
      <c r="B33" s="65" t="s">
        <v>29</v>
      </c>
      <c r="C33" s="58" t="s">
        <v>38</v>
      </c>
      <c r="D33" s="85">
        <v>3.0000000000000001E-3</v>
      </c>
      <c r="E33" s="59">
        <f>D33*E31</f>
        <v>7.1226000000000012</v>
      </c>
      <c r="F33" s="58"/>
      <c r="G33" s="58"/>
      <c r="H33" s="111"/>
      <c r="I33" s="58"/>
      <c r="J33" s="58"/>
      <c r="K33" s="58"/>
      <c r="L33" s="58"/>
      <c r="M33" s="450"/>
      <c r="N33" s="79"/>
      <c r="O33" s="79"/>
      <c r="P33" s="79"/>
      <c r="Q33" s="79"/>
      <c r="R33" s="79"/>
    </row>
    <row r="34" spans="1:18" s="24" customFormat="1" ht="18" customHeight="1">
      <c r="A34" s="31" t="s">
        <v>21</v>
      </c>
      <c r="B34" s="57" t="s">
        <v>44</v>
      </c>
      <c r="C34" s="58" t="s">
        <v>38</v>
      </c>
      <c r="D34" s="85">
        <v>1.4800000000000001E-2</v>
      </c>
      <c r="E34" s="59">
        <f>D34*E31</f>
        <v>35.138160000000006</v>
      </c>
      <c r="F34" s="58"/>
      <c r="G34" s="58"/>
      <c r="H34" s="111"/>
      <c r="I34" s="58"/>
      <c r="J34" s="58"/>
      <c r="K34" s="58"/>
      <c r="L34" s="58"/>
      <c r="M34" s="450"/>
      <c r="N34" s="79"/>
      <c r="O34" s="79"/>
      <c r="P34" s="79"/>
      <c r="Q34" s="79"/>
      <c r="R34" s="79"/>
    </row>
    <row r="35" spans="1:18" s="24" customFormat="1" ht="18" customHeight="1">
      <c r="A35" s="31" t="s">
        <v>21</v>
      </c>
      <c r="B35" s="39" t="s">
        <v>30</v>
      </c>
      <c r="C35" s="58" t="s">
        <v>11</v>
      </c>
      <c r="D35" s="85">
        <v>0.1163</v>
      </c>
      <c r="E35" s="59">
        <f>D35*E31</f>
        <v>276.11946000000006</v>
      </c>
      <c r="F35" s="58"/>
      <c r="G35" s="58"/>
      <c r="H35" s="111"/>
      <c r="I35" s="58"/>
      <c r="J35" s="58"/>
      <c r="K35" s="58"/>
      <c r="L35" s="58"/>
      <c r="M35" s="450"/>
      <c r="N35" s="79"/>
      <c r="O35" s="79"/>
      <c r="P35" s="79"/>
      <c r="Q35" s="79"/>
      <c r="R35" s="79"/>
    </row>
    <row r="36" spans="1:18" s="21" customFormat="1" ht="14.5">
      <c r="A36" s="31" t="s">
        <v>21</v>
      </c>
      <c r="B36" s="19" t="s">
        <v>31</v>
      </c>
      <c r="C36" s="58" t="str">
        <f>C32</f>
        <v>მ2</v>
      </c>
      <c r="D36" s="59">
        <v>1</v>
      </c>
      <c r="E36" s="59">
        <f>D36*E31</f>
        <v>2374.2000000000003</v>
      </c>
      <c r="F36" s="58"/>
      <c r="G36" s="58"/>
      <c r="H36" s="111"/>
      <c r="I36" s="58"/>
      <c r="J36" s="58"/>
      <c r="K36" s="58"/>
      <c r="L36" s="58"/>
      <c r="M36" s="450"/>
      <c r="N36" s="79"/>
      <c r="O36" s="79"/>
      <c r="P36" s="79"/>
      <c r="Q36" s="79"/>
      <c r="R36" s="79"/>
    </row>
    <row r="37" spans="1:18" s="22" customFormat="1" ht="30.75" customHeight="1">
      <c r="A37" s="80">
        <f>A31+1</f>
        <v>6</v>
      </c>
      <c r="B37" s="81" t="s">
        <v>35</v>
      </c>
      <c r="C37" s="82" t="s">
        <v>39</v>
      </c>
      <c r="D37" s="83"/>
      <c r="E37" s="83">
        <f>E31</f>
        <v>2374.2000000000003</v>
      </c>
      <c r="F37" s="62"/>
      <c r="G37" s="62"/>
      <c r="H37" s="112"/>
      <c r="I37" s="62"/>
      <c r="J37" s="62"/>
      <c r="K37" s="62"/>
      <c r="L37" s="62"/>
      <c r="M37" s="450"/>
      <c r="N37" s="79"/>
      <c r="O37" s="79"/>
      <c r="P37" s="79"/>
      <c r="Q37" s="79"/>
      <c r="R37" s="79"/>
    </row>
    <row r="38" spans="1:18" s="21" customFormat="1" ht="14.5">
      <c r="A38" s="20" t="s">
        <v>21</v>
      </c>
      <c r="B38" s="57" t="s">
        <v>24</v>
      </c>
      <c r="C38" s="58" t="s">
        <v>39</v>
      </c>
      <c r="D38" s="59">
        <v>1</v>
      </c>
      <c r="E38" s="60">
        <f>D38*E37</f>
        <v>2374.2000000000003</v>
      </c>
      <c r="F38" s="58"/>
      <c r="G38" s="58"/>
      <c r="H38" s="111"/>
      <c r="I38" s="58"/>
      <c r="J38" s="58"/>
      <c r="K38" s="58"/>
      <c r="L38" s="58"/>
      <c r="M38" s="450"/>
      <c r="N38" s="79"/>
      <c r="O38" s="79"/>
      <c r="P38" s="79"/>
      <c r="Q38" s="79"/>
      <c r="R38" s="79"/>
    </row>
    <row r="39" spans="1:18" s="21" customFormat="1" ht="14.5">
      <c r="A39" s="20" t="s">
        <v>21</v>
      </c>
      <c r="B39" s="19" t="s">
        <v>34</v>
      </c>
      <c r="C39" s="58" t="s">
        <v>40</v>
      </c>
      <c r="D39" s="59">
        <v>0.6</v>
      </c>
      <c r="E39" s="60">
        <f>D39*E37</f>
        <v>1424.5200000000002</v>
      </c>
      <c r="F39" s="58"/>
      <c r="G39" s="58"/>
      <c r="H39" s="111"/>
      <c r="I39" s="58"/>
      <c r="J39" s="58"/>
      <c r="K39" s="58"/>
      <c r="L39" s="58"/>
      <c r="M39" s="450"/>
      <c r="N39" s="79"/>
      <c r="O39" s="79"/>
      <c r="P39" s="79"/>
      <c r="Q39" s="79"/>
      <c r="R39" s="79"/>
    </row>
    <row r="40" spans="1:18" s="21" customFormat="1" ht="14.5">
      <c r="A40" s="20" t="s">
        <v>21</v>
      </c>
      <c r="B40" s="19" t="s">
        <v>31</v>
      </c>
      <c r="C40" s="58" t="s">
        <v>39</v>
      </c>
      <c r="D40" s="59">
        <v>1</v>
      </c>
      <c r="E40" s="60">
        <f>D40*E37</f>
        <v>2374.2000000000003</v>
      </c>
      <c r="F40" s="58"/>
      <c r="G40" s="58"/>
      <c r="H40" s="111"/>
      <c r="I40" s="58"/>
      <c r="J40" s="58"/>
      <c r="K40" s="58"/>
      <c r="L40" s="58"/>
      <c r="M40" s="450"/>
      <c r="N40" s="79"/>
      <c r="O40" s="79"/>
      <c r="P40" s="79"/>
      <c r="Q40" s="79"/>
      <c r="R40" s="79"/>
    </row>
    <row r="41" spans="1:18" s="23" customFormat="1" ht="33.75" customHeight="1">
      <c r="A41" s="87">
        <f>A37+1</f>
        <v>7</v>
      </c>
      <c r="B41" s="88" t="s">
        <v>37</v>
      </c>
      <c r="C41" s="82" t="s">
        <v>39</v>
      </c>
      <c r="D41" s="83"/>
      <c r="E41" s="83">
        <f>E31</f>
        <v>2374.2000000000003</v>
      </c>
      <c r="F41" s="62"/>
      <c r="G41" s="62"/>
      <c r="H41" s="112"/>
      <c r="I41" s="62"/>
      <c r="J41" s="62"/>
      <c r="K41" s="62"/>
      <c r="L41" s="62"/>
      <c r="M41" s="450"/>
      <c r="N41" s="79"/>
      <c r="O41" s="79"/>
      <c r="P41" s="79"/>
      <c r="Q41" s="79"/>
      <c r="R41" s="79"/>
    </row>
    <row r="42" spans="1:18" s="24" customFormat="1" ht="16">
      <c r="A42" s="31" t="s">
        <v>21</v>
      </c>
      <c r="B42" s="57" t="s">
        <v>24</v>
      </c>
      <c r="C42" s="58" t="s">
        <v>39</v>
      </c>
      <c r="D42" s="59">
        <v>1</v>
      </c>
      <c r="E42" s="59">
        <f>D42*E41</f>
        <v>2374.2000000000003</v>
      </c>
      <c r="F42" s="58"/>
      <c r="G42" s="58"/>
      <c r="H42" s="111"/>
      <c r="I42" s="58"/>
      <c r="J42" s="58"/>
      <c r="K42" s="58"/>
      <c r="L42" s="58"/>
      <c r="M42" s="450"/>
      <c r="N42" s="79"/>
      <c r="O42" s="79"/>
      <c r="P42" s="79"/>
      <c r="Q42" s="79"/>
      <c r="R42" s="79"/>
    </row>
    <row r="43" spans="1:18" s="24" customFormat="1" ht="18" customHeight="1">
      <c r="A43" s="31" t="s">
        <v>21</v>
      </c>
      <c r="B43" s="65" t="s">
        <v>29</v>
      </c>
      <c r="C43" s="58" t="s">
        <v>38</v>
      </c>
      <c r="D43" s="85">
        <v>3.0000000000000001E-3</v>
      </c>
      <c r="E43" s="59">
        <f>D43*E41</f>
        <v>7.1226000000000012</v>
      </c>
      <c r="F43" s="58"/>
      <c r="G43" s="58"/>
      <c r="H43" s="111"/>
      <c r="I43" s="58"/>
      <c r="J43" s="58"/>
      <c r="K43" s="58"/>
      <c r="L43" s="58"/>
      <c r="M43" s="450"/>
      <c r="N43" s="79"/>
      <c r="O43" s="79"/>
      <c r="P43" s="79"/>
      <c r="Q43" s="79"/>
      <c r="R43" s="79"/>
    </row>
    <row r="44" spans="1:18" s="24" customFormat="1" ht="18" customHeight="1">
      <c r="A44" s="31" t="s">
        <v>21</v>
      </c>
      <c r="B44" s="57" t="s">
        <v>44</v>
      </c>
      <c r="C44" s="58" t="s">
        <v>38</v>
      </c>
      <c r="D44" s="85">
        <v>1.4800000000000001E-2</v>
      </c>
      <c r="E44" s="59">
        <f>D44*E41</f>
        <v>35.138160000000006</v>
      </c>
      <c r="F44" s="58"/>
      <c r="G44" s="58"/>
      <c r="H44" s="111"/>
      <c r="I44" s="58"/>
      <c r="J44" s="58"/>
      <c r="K44" s="58"/>
      <c r="L44" s="58"/>
      <c r="M44" s="450"/>
      <c r="N44" s="79"/>
      <c r="O44" s="79"/>
      <c r="P44" s="79"/>
      <c r="Q44" s="79"/>
      <c r="R44" s="79"/>
    </row>
    <row r="45" spans="1:18" s="24" customFormat="1" ht="18" customHeight="1">
      <c r="A45" s="31" t="s">
        <v>21</v>
      </c>
      <c r="B45" s="39" t="s">
        <v>32</v>
      </c>
      <c r="C45" s="58" t="s">
        <v>11</v>
      </c>
      <c r="D45" s="59">
        <v>9.3899999999999997E-2</v>
      </c>
      <c r="E45" s="59">
        <f>D45*E41</f>
        <v>222.93738000000002</v>
      </c>
      <c r="F45" s="58"/>
      <c r="G45" s="58"/>
      <c r="H45" s="111"/>
      <c r="I45" s="58"/>
      <c r="J45" s="58"/>
      <c r="K45" s="58"/>
      <c r="L45" s="58"/>
      <c r="M45" s="450"/>
      <c r="N45" s="79"/>
      <c r="O45" s="79"/>
      <c r="P45" s="79"/>
      <c r="Q45" s="79"/>
      <c r="R45" s="79"/>
    </row>
    <row r="46" spans="1:18" s="21" customFormat="1" ht="14.5">
      <c r="A46" s="20" t="s">
        <v>21</v>
      </c>
      <c r="B46" s="19" t="s">
        <v>31</v>
      </c>
      <c r="C46" s="58" t="str">
        <f>C42</f>
        <v>მ2</v>
      </c>
      <c r="D46" s="59">
        <v>1</v>
      </c>
      <c r="E46" s="60">
        <f>D46*E41</f>
        <v>2374.2000000000003</v>
      </c>
      <c r="F46" s="58"/>
      <c r="G46" s="58"/>
      <c r="H46" s="111"/>
      <c r="I46" s="58"/>
      <c r="J46" s="58"/>
      <c r="K46" s="58"/>
      <c r="L46" s="58"/>
      <c r="M46" s="450"/>
      <c r="N46" s="79"/>
      <c r="O46" s="79"/>
      <c r="P46" s="79"/>
      <c r="Q46" s="79"/>
      <c r="R46" s="79"/>
    </row>
    <row r="47" spans="1:18" s="22" customFormat="1" ht="34.5" customHeight="1">
      <c r="A47" s="80">
        <f>A41+1</f>
        <v>8</v>
      </c>
      <c r="B47" s="81" t="s">
        <v>36</v>
      </c>
      <c r="C47" s="82" t="s">
        <v>39</v>
      </c>
      <c r="D47" s="83"/>
      <c r="E47" s="83">
        <f>E31</f>
        <v>2374.2000000000003</v>
      </c>
      <c r="F47" s="62"/>
      <c r="G47" s="62"/>
      <c r="H47" s="112"/>
      <c r="I47" s="62"/>
      <c r="J47" s="62"/>
      <c r="K47" s="62"/>
      <c r="L47" s="62"/>
      <c r="M47" s="450"/>
      <c r="N47" s="79"/>
      <c r="O47" s="79"/>
      <c r="P47" s="79"/>
      <c r="Q47" s="79"/>
      <c r="R47" s="79"/>
    </row>
    <row r="48" spans="1:18" s="21" customFormat="1" ht="14.5">
      <c r="A48" s="20" t="s">
        <v>21</v>
      </c>
      <c r="B48" s="57" t="s">
        <v>24</v>
      </c>
      <c r="C48" s="58" t="s">
        <v>39</v>
      </c>
      <c r="D48" s="59">
        <v>1</v>
      </c>
      <c r="E48" s="60">
        <f>D48*E47</f>
        <v>2374.2000000000003</v>
      </c>
      <c r="F48" s="58"/>
      <c r="G48" s="58"/>
      <c r="H48" s="111"/>
      <c r="I48" s="58"/>
      <c r="J48" s="58"/>
      <c r="K48" s="58"/>
      <c r="L48" s="58"/>
      <c r="M48" s="450"/>
      <c r="N48" s="79"/>
      <c r="O48" s="79"/>
      <c r="P48" s="79"/>
      <c r="Q48" s="79"/>
      <c r="R48" s="79"/>
    </row>
    <row r="49" spans="1:18" s="21" customFormat="1" ht="14.5">
      <c r="A49" s="20" t="s">
        <v>21</v>
      </c>
      <c r="B49" s="19" t="s">
        <v>34</v>
      </c>
      <c r="C49" s="58" t="s">
        <v>40</v>
      </c>
      <c r="D49" s="59">
        <v>0.6</v>
      </c>
      <c r="E49" s="60">
        <f>D49*E47</f>
        <v>1424.5200000000002</v>
      </c>
      <c r="F49" s="58"/>
      <c r="G49" s="58"/>
      <c r="H49" s="111"/>
      <c r="I49" s="58"/>
      <c r="J49" s="58"/>
      <c r="K49" s="58"/>
      <c r="L49" s="58"/>
      <c r="M49" s="450"/>
      <c r="N49" s="79"/>
      <c r="O49" s="79"/>
      <c r="P49" s="79"/>
      <c r="Q49" s="79"/>
      <c r="R49" s="79"/>
    </row>
    <row r="50" spans="1:18" s="21" customFormat="1" ht="14.5">
      <c r="A50" s="20" t="s">
        <v>21</v>
      </c>
      <c r="B50" s="19" t="s">
        <v>31</v>
      </c>
      <c r="C50" s="58" t="s">
        <v>39</v>
      </c>
      <c r="D50" s="59">
        <v>1</v>
      </c>
      <c r="E50" s="60">
        <f>D50*E47</f>
        <v>2374.2000000000003</v>
      </c>
      <c r="F50" s="58"/>
      <c r="G50" s="58"/>
      <c r="H50" s="111"/>
      <c r="I50" s="58"/>
      <c r="J50" s="58"/>
      <c r="K50" s="58"/>
      <c r="L50" s="58"/>
      <c r="M50" s="450"/>
      <c r="N50" s="79"/>
      <c r="O50" s="79"/>
      <c r="P50" s="79"/>
      <c r="Q50" s="79"/>
      <c r="R50" s="79"/>
    </row>
    <row r="51" spans="1:18" s="24" customFormat="1" ht="30.75" customHeight="1">
      <c r="A51" s="31"/>
      <c r="B51" s="77" t="s">
        <v>111</v>
      </c>
      <c r="C51" s="58"/>
      <c r="D51" s="59"/>
      <c r="E51" s="59"/>
      <c r="F51" s="58"/>
      <c r="G51" s="58"/>
      <c r="H51" s="111"/>
      <c r="I51" s="58"/>
      <c r="J51" s="58"/>
      <c r="K51" s="58"/>
      <c r="L51" s="58"/>
      <c r="M51" s="450"/>
      <c r="N51" s="79"/>
      <c r="O51" s="79"/>
      <c r="P51" s="79"/>
      <c r="Q51" s="79"/>
      <c r="R51" s="79"/>
    </row>
    <row r="52" spans="1:18" s="22" customFormat="1" ht="58.5" customHeight="1">
      <c r="A52" s="80">
        <f>A47+1</f>
        <v>9</v>
      </c>
      <c r="B52" s="84" t="s">
        <v>112</v>
      </c>
      <c r="C52" s="82" t="s">
        <v>28</v>
      </c>
      <c r="D52" s="83"/>
      <c r="E52" s="83">
        <f>E73*0.3</f>
        <v>139.79999999999998</v>
      </c>
      <c r="F52" s="62"/>
      <c r="G52" s="62"/>
      <c r="H52" s="112"/>
      <c r="I52" s="62"/>
      <c r="J52" s="62"/>
      <c r="K52" s="62"/>
      <c r="L52" s="62"/>
      <c r="M52" s="450"/>
      <c r="N52" s="79"/>
      <c r="O52" s="79"/>
      <c r="P52" s="79"/>
      <c r="Q52" s="79"/>
      <c r="R52" s="79"/>
    </row>
    <row r="53" spans="1:18" s="21" customFormat="1" ht="14.5">
      <c r="A53" s="20" t="s">
        <v>21</v>
      </c>
      <c r="B53" s="57" t="s">
        <v>24</v>
      </c>
      <c r="C53" s="58" t="s">
        <v>28</v>
      </c>
      <c r="D53" s="59">
        <v>1</v>
      </c>
      <c r="E53" s="59">
        <f>D53*E52</f>
        <v>139.79999999999998</v>
      </c>
      <c r="F53" s="58"/>
      <c r="G53" s="58"/>
      <c r="H53" s="111"/>
      <c r="I53" s="58"/>
      <c r="J53" s="58"/>
      <c r="K53" s="58"/>
      <c r="L53" s="58"/>
      <c r="M53" s="450"/>
      <c r="N53" s="79"/>
      <c r="O53" s="79"/>
      <c r="P53" s="79"/>
      <c r="Q53" s="79"/>
      <c r="R53" s="79"/>
    </row>
    <row r="54" spans="1:18" s="21" customFormat="1" ht="14.5">
      <c r="A54" s="20" t="s">
        <v>21</v>
      </c>
      <c r="B54" s="61" t="s">
        <v>45</v>
      </c>
      <c r="C54" s="58" t="s">
        <v>38</v>
      </c>
      <c r="D54" s="85">
        <v>2.1600000000000001E-2</v>
      </c>
      <c r="E54" s="59">
        <f>D54*E52</f>
        <v>3.0196799999999997</v>
      </c>
      <c r="F54" s="58"/>
      <c r="G54" s="58"/>
      <c r="H54" s="111"/>
      <c r="I54" s="58"/>
      <c r="J54" s="58"/>
      <c r="K54" s="58"/>
      <c r="L54" s="58"/>
      <c r="M54" s="450"/>
      <c r="N54" s="79"/>
      <c r="O54" s="79"/>
      <c r="P54" s="79"/>
      <c r="Q54" s="79"/>
      <c r="R54" s="79"/>
    </row>
    <row r="55" spans="1:18" s="21" customFormat="1" ht="14.5">
      <c r="A55" s="20" t="s">
        <v>21</v>
      </c>
      <c r="B55" s="61" t="s">
        <v>46</v>
      </c>
      <c r="C55" s="58" t="s">
        <v>38</v>
      </c>
      <c r="D55" s="85">
        <v>2.58E-2</v>
      </c>
      <c r="E55" s="59">
        <f>D55*E52</f>
        <v>3.6068399999999996</v>
      </c>
      <c r="F55" s="58"/>
      <c r="G55" s="58"/>
      <c r="H55" s="111"/>
      <c r="I55" s="58"/>
      <c r="J55" s="58"/>
      <c r="K55" s="58"/>
      <c r="L55" s="58"/>
      <c r="M55" s="450"/>
      <c r="N55" s="79"/>
      <c r="O55" s="79"/>
      <c r="P55" s="79"/>
      <c r="Q55" s="79"/>
      <c r="R55" s="79"/>
    </row>
    <row r="56" spans="1:18" s="21" customFormat="1" ht="14.5">
      <c r="A56" s="20" t="s">
        <v>21</v>
      </c>
      <c r="B56" s="61" t="s">
        <v>47</v>
      </c>
      <c r="C56" s="58" t="s">
        <v>38</v>
      </c>
      <c r="D56" s="85">
        <v>2.7300000000000001E-2</v>
      </c>
      <c r="E56" s="59">
        <f>D56*E52</f>
        <v>3.8165399999999998</v>
      </c>
      <c r="F56" s="58"/>
      <c r="G56" s="58"/>
      <c r="H56" s="111"/>
      <c r="I56" s="58"/>
      <c r="J56" s="58"/>
      <c r="K56" s="58"/>
      <c r="L56" s="58"/>
      <c r="M56" s="450"/>
      <c r="N56" s="79"/>
      <c r="O56" s="79"/>
      <c r="P56" s="79"/>
      <c r="Q56" s="79"/>
      <c r="R56" s="79"/>
    </row>
    <row r="57" spans="1:18" s="21" customFormat="1" ht="14.5">
      <c r="A57" s="20" t="s">
        <v>21</v>
      </c>
      <c r="B57" s="19" t="s">
        <v>66</v>
      </c>
      <c r="C57" s="58" t="s">
        <v>28</v>
      </c>
      <c r="D57" s="59">
        <v>1.22</v>
      </c>
      <c r="E57" s="59">
        <f>D57*E52</f>
        <v>170.55599999999998</v>
      </c>
      <c r="F57" s="58"/>
      <c r="G57" s="58"/>
      <c r="H57" s="111"/>
      <c r="I57" s="58"/>
      <c r="J57" s="58"/>
      <c r="K57" s="58"/>
      <c r="L57" s="58"/>
      <c r="M57" s="450"/>
      <c r="N57" s="79"/>
      <c r="O57" s="79"/>
      <c r="P57" s="79"/>
      <c r="Q57" s="79"/>
      <c r="R57" s="79"/>
    </row>
    <row r="58" spans="1:18" s="21" customFormat="1" ht="14.5">
      <c r="A58" s="20" t="s">
        <v>21</v>
      </c>
      <c r="B58" s="19" t="s">
        <v>31</v>
      </c>
      <c r="C58" s="58" t="s">
        <v>28</v>
      </c>
      <c r="D58" s="59">
        <v>1</v>
      </c>
      <c r="E58" s="59">
        <f>D58*E52</f>
        <v>139.79999999999998</v>
      </c>
      <c r="F58" s="58"/>
      <c r="G58" s="58"/>
      <c r="H58" s="111"/>
      <c r="I58" s="58"/>
      <c r="J58" s="58"/>
      <c r="K58" s="58"/>
      <c r="L58" s="58"/>
      <c r="M58" s="450"/>
      <c r="N58" s="79"/>
      <c r="O58" s="79"/>
      <c r="P58" s="79"/>
      <c r="Q58" s="79"/>
      <c r="R58" s="79"/>
    </row>
    <row r="59" spans="1:18" s="21" customFormat="1" ht="29">
      <c r="A59" s="80">
        <f>A52+1</f>
        <v>10</v>
      </c>
      <c r="B59" s="84" t="s">
        <v>113</v>
      </c>
      <c r="C59" s="82" t="s">
        <v>28</v>
      </c>
      <c r="D59" s="83"/>
      <c r="E59" s="83">
        <f>E73*0.2</f>
        <v>93.2</v>
      </c>
      <c r="F59" s="62"/>
      <c r="G59" s="62"/>
      <c r="H59" s="112"/>
      <c r="I59" s="62"/>
      <c r="J59" s="62"/>
      <c r="K59" s="62"/>
      <c r="L59" s="62"/>
      <c r="M59" s="450"/>
      <c r="N59" s="79"/>
      <c r="O59" s="79"/>
      <c r="P59" s="79"/>
      <c r="Q59" s="79"/>
      <c r="R59" s="79"/>
    </row>
    <row r="60" spans="1:18" s="21" customFormat="1" ht="14.5">
      <c r="A60" s="20" t="s">
        <v>21</v>
      </c>
      <c r="B60" s="57" t="s">
        <v>24</v>
      </c>
      <c r="C60" s="58" t="s">
        <v>28</v>
      </c>
      <c r="D60" s="59">
        <v>1</v>
      </c>
      <c r="E60" s="59">
        <f>D60*E59</f>
        <v>93.2</v>
      </c>
      <c r="F60" s="58"/>
      <c r="G60" s="58"/>
      <c r="H60" s="111"/>
      <c r="I60" s="58"/>
      <c r="J60" s="58"/>
      <c r="K60" s="58"/>
      <c r="L60" s="58"/>
      <c r="M60" s="450"/>
      <c r="N60" s="79"/>
      <c r="O60" s="79"/>
      <c r="P60" s="79"/>
      <c r="Q60" s="79"/>
      <c r="R60" s="79"/>
    </row>
    <row r="61" spans="1:18" s="21" customFormat="1" ht="14.5">
      <c r="A61" s="20" t="s">
        <v>21</v>
      </c>
      <c r="B61" s="61" t="s">
        <v>45</v>
      </c>
      <c r="C61" s="58" t="s">
        <v>38</v>
      </c>
      <c r="D61" s="85">
        <f>2.16/100</f>
        <v>2.1600000000000001E-2</v>
      </c>
      <c r="E61" s="59">
        <f>D61*E59</f>
        <v>2.0131200000000002</v>
      </c>
      <c r="F61" s="58"/>
      <c r="G61" s="58"/>
      <c r="H61" s="111"/>
      <c r="I61" s="58"/>
      <c r="J61" s="58"/>
      <c r="K61" s="58"/>
      <c r="L61" s="58"/>
      <c r="M61" s="450"/>
      <c r="N61" s="79"/>
      <c r="O61" s="79"/>
      <c r="P61" s="79"/>
      <c r="Q61" s="79"/>
      <c r="R61" s="79"/>
    </row>
    <row r="62" spans="1:18" s="21" customFormat="1" ht="14.5">
      <c r="A62" s="20" t="s">
        <v>21</v>
      </c>
      <c r="B62" s="61" t="s">
        <v>47</v>
      </c>
      <c r="C62" s="58" t="s">
        <v>38</v>
      </c>
      <c r="D62" s="85">
        <f>(0.41+1.82)/100</f>
        <v>2.23E-2</v>
      </c>
      <c r="E62" s="59">
        <f>D62*E59</f>
        <v>2.07836</v>
      </c>
      <c r="F62" s="58"/>
      <c r="G62" s="58"/>
      <c r="H62" s="111"/>
      <c r="I62" s="58"/>
      <c r="J62" s="58"/>
      <c r="K62" s="58"/>
      <c r="L62" s="58"/>
      <c r="M62" s="450"/>
      <c r="N62" s="79"/>
      <c r="O62" s="79"/>
      <c r="P62" s="79"/>
      <c r="Q62" s="79"/>
      <c r="R62" s="79"/>
    </row>
    <row r="63" spans="1:18" s="21" customFormat="1" ht="14.5">
      <c r="A63" s="20" t="s">
        <v>21</v>
      </c>
      <c r="B63" s="19" t="s">
        <v>68</v>
      </c>
      <c r="C63" s="58" t="s">
        <v>28</v>
      </c>
      <c r="D63" s="59">
        <v>1.1200000000000001</v>
      </c>
      <c r="E63" s="59">
        <f>D63*E59</f>
        <v>104.38400000000001</v>
      </c>
      <c r="F63" s="58"/>
      <c r="G63" s="58"/>
      <c r="H63" s="111"/>
      <c r="I63" s="58"/>
      <c r="J63" s="58"/>
      <c r="K63" s="58"/>
      <c r="L63" s="58"/>
      <c r="M63" s="450"/>
      <c r="N63" s="79"/>
      <c r="O63" s="79"/>
      <c r="P63" s="79"/>
      <c r="Q63" s="79"/>
      <c r="R63" s="79"/>
    </row>
    <row r="64" spans="1:18" s="21" customFormat="1" ht="14.5">
      <c r="A64" s="20" t="s">
        <v>21</v>
      </c>
      <c r="B64" s="19" t="s">
        <v>31</v>
      </c>
      <c r="C64" s="58" t="s">
        <v>28</v>
      </c>
      <c r="D64" s="59">
        <v>1</v>
      </c>
      <c r="E64" s="59">
        <f>D64*E59</f>
        <v>93.2</v>
      </c>
      <c r="F64" s="58"/>
      <c r="G64" s="58"/>
      <c r="H64" s="111"/>
      <c r="I64" s="58"/>
      <c r="J64" s="58"/>
      <c r="K64" s="58"/>
      <c r="L64" s="58"/>
      <c r="M64" s="450"/>
      <c r="N64" s="79"/>
      <c r="O64" s="79"/>
      <c r="P64" s="79"/>
      <c r="Q64" s="79"/>
      <c r="R64" s="79"/>
    </row>
    <row r="65" spans="1:18" s="22" customFormat="1" ht="33.75" customHeight="1">
      <c r="A65" s="80">
        <f>A59+1</f>
        <v>11</v>
      </c>
      <c r="B65" s="81" t="s">
        <v>48</v>
      </c>
      <c r="C65" s="82" t="s">
        <v>39</v>
      </c>
      <c r="D65" s="83"/>
      <c r="E65" s="83">
        <f>'მოცულობები - ტერიტ.'!C5</f>
        <v>466</v>
      </c>
      <c r="F65" s="62"/>
      <c r="G65" s="62"/>
      <c r="H65" s="112"/>
      <c r="I65" s="62"/>
      <c r="J65" s="62"/>
      <c r="K65" s="62"/>
      <c r="L65" s="62"/>
      <c r="M65" s="450"/>
      <c r="N65" s="79"/>
      <c r="O65" s="79"/>
      <c r="P65" s="79"/>
      <c r="Q65" s="79"/>
      <c r="R65" s="79"/>
    </row>
    <row r="66" spans="1:18" s="22" customFormat="1" ht="14.5">
      <c r="A66" s="20" t="s">
        <v>21</v>
      </c>
      <c r="B66" s="57" t="s">
        <v>24</v>
      </c>
      <c r="C66" s="58" t="s">
        <v>39</v>
      </c>
      <c r="D66" s="59">
        <v>1</v>
      </c>
      <c r="E66" s="59">
        <f>D66*E65</f>
        <v>466</v>
      </c>
      <c r="F66" s="62"/>
      <c r="G66" s="58"/>
      <c r="H66" s="111"/>
      <c r="I66" s="58"/>
      <c r="J66" s="58"/>
      <c r="K66" s="58"/>
      <c r="L66" s="58"/>
      <c r="M66" s="450"/>
      <c r="N66" s="79"/>
      <c r="O66" s="79"/>
      <c r="P66" s="79"/>
      <c r="Q66" s="79"/>
      <c r="R66" s="79"/>
    </row>
    <row r="67" spans="1:18" s="22" customFormat="1" ht="14.5">
      <c r="A67" s="20" t="s">
        <v>21</v>
      </c>
      <c r="B67" s="19" t="s">
        <v>49</v>
      </c>
      <c r="C67" s="58" t="s">
        <v>39</v>
      </c>
      <c r="D67" s="59">
        <v>1.05</v>
      </c>
      <c r="E67" s="59">
        <f>D67*E65</f>
        <v>489.3</v>
      </c>
      <c r="F67" s="58"/>
      <c r="G67" s="58"/>
      <c r="H67" s="111"/>
      <c r="I67" s="58"/>
      <c r="J67" s="58"/>
      <c r="K67" s="58"/>
      <c r="L67" s="58"/>
      <c r="M67" s="450"/>
      <c r="N67" s="79"/>
      <c r="O67" s="79"/>
      <c r="P67" s="79"/>
      <c r="Q67" s="79"/>
      <c r="R67" s="79"/>
    </row>
    <row r="68" spans="1:18" s="21" customFormat="1" ht="14.5">
      <c r="A68" s="20" t="s">
        <v>21</v>
      </c>
      <c r="B68" s="19" t="s">
        <v>31</v>
      </c>
      <c r="C68" s="58" t="s">
        <v>39</v>
      </c>
      <c r="D68" s="59">
        <v>1</v>
      </c>
      <c r="E68" s="59">
        <f>D68*E65</f>
        <v>466</v>
      </c>
      <c r="F68" s="58"/>
      <c r="G68" s="58"/>
      <c r="H68" s="111"/>
      <c r="I68" s="58"/>
      <c r="J68" s="58"/>
      <c r="K68" s="58"/>
      <c r="L68" s="58"/>
      <c r="M68" s="450"/>
      <c r="N68" s="79"/>
      <c r="O68" s="79"/>
      <c r="P68" s="79"/>
      <c r="Q68" s="79"/>
      <c r="R68" s="79"/>
    </row>
    <row r="69" spans="1:18" s="22" customFormat="1" ht="33.75" customHeight="1">
      <c r="A69" s="80">
        <f>A65+1</f>
        <v>12</v>
      </c>
      <c r="B69" s="81" t="s">
        <v>202</v>
      </c>
      <c r="C69" s="82" t="s">
        <v>28</v>
      </c>
      <c r="D69" s="83"/>
      <c r="E69" s="83">
        <f>E65</f>
        <v>466</v>
      </c>
      <c r="F69" s="62"/>
      <c r="G69" s="62"/>
      <c r="H69" s="112"/>
      <c r="I69" s="62"/>
      <c r="J69" s="62"/>
      <c r="K69" s="62"/>
      <c r="L69" s="62"/>
      <c r="M69" s="450"/>
      <c r="N69" s="79"/>
      <c r="O69" s="79"/>
      <c r="P69" s="79"/>
      <c r="Q69" s="79"/>
      <c r="R69" s="79"/>
    </row>
    <row r="70" spans="1:18" s="21" customFormat="1" ht="14.5">
      <c r="A70" s="20" t="s">
        <v>21</v>
      </c>
      <c r="B70" s="19" t="s">
        <v>24</v>
      </c>
      <c r="C70" s="58" t="s">
        <v>39</v>
      </c>
      <c r="D70" s="59">
        <v>1</v>
      </c>
      <c r="E70" s="59">
        <f>D70*E69</f>
        <v>466</v>
      </c>
      <c r="F70" s="58"/>
      <c r="G70" s="58"/>
      <c r="H70" s="111"/>
      <c r="I70" s="58"/>
      <c r="J70" s="58"/>
      <c r="K70" s="58"/>
      <c r="L70" s="58"/>
      <c r="M70" s="450"/>
      <c r="N70" s="79"/>
      <c r="O70" s="79"/>
      <c r="P70" s="79"/>
      <c r="Q70" s="79"/>
      <c r="R70" s="79"/>
    </row>
    <row r="71" spans="1:18" s="24" customFormat="1" ht="16">
      <c r="A71" s="31" t="s">
        <v>21</v>
      </c>
      <c r="B71" s="39" t="s">
        <v>203</v>
      </c>
      <c r="C71" s="58" t="s">
        <v>28</v>
      </c>
      <c r="D71" s="85">
        <f>1.02*0.05</f>
        <v>5.1000000000000004E-2</v>
      </c>
      <c r="E71" s="59">
        <f>D71*E69</f>
        <v>23.766000000000002</v>
      </c>
      <c r="F71" s="58"/>
      <c r="G71" s="58"/>
      <c r="H71" s="111"/>
      <c r="I71" s="58"/>
      <c r="J71" s="58"/>
      <c r="K71" s="58"/>
      <c r="L71" s="58"/>
      <c r="M71" s="450"/>
      <c r="N71" s="79"/>
      <c r="O71" s="79"/>
      <c r="P71" s="79"/>
      <c r="Q71" s="79"/>
      <c r="R71" s="79"/>
    </row>
    <row r="72" spans="1:18" s="21" customFormat="1" ht="14.5">
      <c r="A72" s="20" t="s">
        <v>21</v>
      </c>
      <c r="B72" s="19" t="s">
        <v>31</v>
      </c>
      <c r="C72" s="58" t="s">
        <v>28</v>
      </c>
      <c r="D72" s="59">
        <v>1</v>
      </c>
      <c r="E72" s="59">
        <f>D72*E69</f>
        <v>466</v>
      </c>
      <c r="F72" s="58"/>
      <c r="G72" s="58"/>
      <c r="H72" s="111"/>
      <c r="I72" s="58"/>
      <c r="J72" s="58"/>
      <c r="K72" s="58"/>
      <c r="L72" s="58"/>
      <c r="M72" s="450"/>
      <c r="N72" s="79"/>
      <c r="O72" s="79"/>
      <c r="P72" s="79"/>
      <c r="Q72" s="79"/>
      <c r="R72" s="79"/>
    </row>
    <row r="73" spans="1:18" s="23" customFormat="1" ht="36" customHeight="1">
      <c r="A73" s="87">
        <f>A69+1</f>
        <v>13</v>
      </c>
      <c r="B73" s="88" t="s">
        <v>114</v>
      </c>
      <c r="C73" s="82" t="s">
        <v>39</v>
      </c>
      <c r="D73" s="83"/>
      <c r="E73" s="83">
        <f>E65</f>
        <v>466</v>
      </c>
      <c r="F73" s="62"/>
      <c r="G73" s="62"/>
      <c r="H73" s="112"/>
      <c r="I73" s="62"/>
      <c r="J73" s="62"/>
      <c r="K73" s="62"/>
      <c r="L73" s="62"/>
      <c r="M73" s="450"/>
      <c r="N73" s="79"/>
      <c r="O73" s="79"/>
      <c r="P73" s="79"/>
      <c r="Q73" s="79"/>
      <c r="R73" s="79"/>
    </row>
    <row r="74" spans="1:18" s="21" customFormat="1" ht="14.5">
      <c r="A74" s="20" t="s">
        <v>21</v>
      </c>
      <c r="B74" s="19" t="s">
        <v>24</v>
      </c>
      <c r="C74" s="58" t="s">
        <v>39</v>
      </c>
      <c r="D74" s="59">
        <v>1</v>
      </c>
      <c r="E74" s="59">
        <f>D74*E73</f>
        <v>466</v>
      </c>
      <c r="F74" s="58"/>
      <c r="G74" s="58"/>
      <c r="H74" s="111"/>
      <c r="I74" s="58"/>
      <c r="J74" s="58"/>
      <c r="K74" s="58"/>
      <c r="L74" s="58"/>
      <c r="M74" s="450"/>
      <c r="N74" s="79"/>
      <c r="O74" s="79"/>
      <c r="P74" s="79"/>
      <c r="Q74" s="79"/>
      <c r="R74" s="79"/>
    </row>
    <row r="75" spans="1:18" s="24" customFormat="1" ht="16">
      <c r="A75" s="31" t="s">
        <v>21</v>
      </c>
      <c r="B75" s="39" t="s">
        <v>51</v>
      </c>
      <c r="C75" s="58" t="s">
        <v>39</v>
      </c>
      <c r="D75" s="59">
        <v>1.05</v>
      </c>
      <c r="E75" s="59">
        <f>D75*E73</f>
        <v>489.3</v>
      </c>
      <c r="F75" s="58"/>
      <c r="G75" s="58"/>
      <c r="H75" s="111"/>
      <c r="I75" s="58"/>
      <c r="J75" s="58"/>
      <c r="K75" s="58"/>
      <c r="L75" s="58"/>
      <c r="M75" s="450"/>
      <c r="N75" s="79"/>
      <c r="O75" s="79"/>
      <c r="P75" s="79"/>
      <c r="Q75" s="79"/>
      <c r="R75" s="79"/>
    </row>
    <row r="76" spans="1:18" s="21" customFormat="1" ht="14.5">
      <c r="A76" s="20" t="s">
        <v>21</v>
      </c>
      <c r="B76" s="19" t="s">
        <v>31</v>
      </c>
      <c r="C76" s="58" t="s">
        <v>39</v>
      </c>
      <c r="D76" s="59">
        <v>1</v>
      </c>
      <c r="E76" s="59">
        <f>D76*E73</f>
        <v>466</v>
      </c>
      <c r="F76" s="58"/>
      <c r="G76" s="58"/>
      <c r="H76" s="111"/>
      <c r="I76" s="58"/>
      <c r="J76" s="58"/>
      <c r="K76" s="58"/>
      <c r="L76" s="58"/>
      <c r="M76" s="450"/>
      <c r="N76" s="79"/>
      <c r="O76" s="79"/>
      <c r="P76" s="79"/>
      <c r="Q76" s="79"/>
      <c r="R76" s="79"/>
    </row>
    <row r="77" spans="1:18" s="23" customFormat="1" ht="24.75" customHeight="1">
      <c r="A77" s="87">
        <f>A73+1</f>
        <v>14</v>
      </c>
      <c r="B77" s="91" t="s">
        <v>115</v>
      </c>
      <c r="C77" s="82" t="s">
        <v>39</v>
      </c>
      <c r="D77" s="83"/>
      <c r="E77" s="83">
        <f>E73</f>
        <v>466</v>
      </c>
      <c r="F77" s="62"/>
      <c r="G77" s="522"/>
      <c r="H77" s="112"/>
      <c r="I77" s="62"/>
      <c r="J77" s="62"/>
      <c r="K77" s="62"/>
      <c r="L77" s="62"/>
      <c r="M77" s="450"/>
      <c r="N77" s="79"/>
      <c r="O77" s="79"/>
      <c r="P77" s="79"/>
      <c r="Q77" s="79"/>
      <c r="R77" s="79"/>
    </row>
    <row r="78" spans="1:18" s="24" customFormat="1" ht="18" customHeight="1">
      <c r="A78" s="31" t="s">
        <v>21</v>
      </c>
      <c r="B78" s="19" t="s">
        <v>24</v>
      </c>
      <c r="C78" s="58" t="s">
        <v>39</v>
      </c>
      <c r="D78" s="59">
        <v>1</v>
      </c>
      <c r="E78" s="59">
        <f>D78*E77</f>
        <v>466</v>
      </c>
      <c r="F78" s="58"/>
      <c r="G78" s="58"/>
      <c r="H78" s="111"/>
      <c r="I78" s="58"/>
      <c r="J78" s="58"/>
      <c r="K78" s="58"/>
      <c r="L78" s="58"/>
      <c r="M78" s="450"/>
      <c r="N78" s="79"/>
      <c r="O78" s="79"/>
      <c r="P78" s="79"/>
      <c r="Q78" s="79"/>
      <c r="R78" s="79"/>
    </row>
    <row r="79" spans="1:18" s="24" customFormat="1" ht="16">
      <c r="A79" s="31" t="s">
        <v>21</v>
      </c>
      <c r="B79" s="39" t="s">
        <v>52</v>
      </c>
      <c r="C79" s="58" t="s">
        <v>28</v>
      </c>
      <c r="D79" s="59">
        <f>0.1*1.28</f>
        <v>0.128</v>
      </c>
      <c r="E79" s="452">
        <f>D79*E77</f>
        <v>59.648000000000003</v>
      </c>
      <c r="F79" s="58"/>
      <c r="G79" s="58"/>
      <c r="H79" s="111"/>
      <c r="I79" s="58"/>
      <c r="J79" s="58"/>
      <c r="K79" s="58"/>
      <c r="L79" s="58"/>
      <c r="M79" s="450"/>
      <c r="N79" s="79"/>
      <c r="O79" s="79"/>
      <c r="P79" s="79"/>
      <c r="Q79" s="79"/>
      <c r="R79" s="79"/>
    </row>
    <row r="80" spans="1:18" s="24" customFormat="1" ht="18" customHeight="1">
      <c r="A80" s="31" t="s">
        <v>21</v>
      </c>
      <c r="B80" s="19" t="s">
        <v>31</v>
      </c>
      <c r="C80" s="58" t="s">
        <v>39</v>
      </c>
      <c r="D80" s="59">
        <v>1</v>
      </c>
      <c r="E80" s="59">
        <f>D80*E77</f>
        <v>466</v>
      </c>
      <c r="F80" s="58"/>
      <c r="G80" s="58"/>
      <c r="H80" s="111"/>
      <c r="I80" s="58"/>
      <c r="J80" s="58"/>
      <c r="K80" s="58"/>
      <c r="L80" s="58"/>
      <c r="M80" s="450"/>
      <c r="N80" s="79"/>
      <c r="O80" s="79"/>
      <c r="P80" s="79"/>
      <c r="Q80" s="79"/>
      <c r="R80" s="79"/>
    </row>
    <row r="81" spans="1:18" s="21" customFormat="1" ht="14.5">
      <c r="A81" s="20" t="s">
        <v>21</v>
      </c>
      <c r="B81" s="61" t="s">
        <v>47</v>
      </c>
      <c r="C81" s="58" t="s">
        <v>38</v>
      </c>
      <c r="D81" s="85">
        <f>(0.41+1.82)/100</f>
        <v>2.23E-2</v>
      </c>
      <c r="E81" s="59">
        <f>D81*E77</f>
        <v>10.3918</v>
      </c>
      <c r="F81" s="58"/>
      <c r="G81" s="58"/>
      <c r="H81" s="111"/>
      <c r="I81" s="58"/>
      <c r="J81" s="58"/>
      <c r="K81" s="58"/>
      <c r="L81" s="58"/>
      <c r="M81" s="450"/>
      <c r="N81" s="79"/>
      <c r="O81" s="79"/>
      <c r="P81" s="79"/>
      <c r="Q81" s="79"/>
      <c r="R81" s="79"/>
    </row>
    <row r="82" spans="1:18" s="23" customFormat="1" ht="27" customHeight="1">
      <c r="A82" s="87">
        <f>A77+1</f>
        <v>15</v>
      </c>
      <c r="B82" s="88" t="s">
        <v>116</v>
      </c>
      <c r="C82" s="82" t="s">
        <v>39</v>
      </c>
      <c r="D82" s="83"/>
      <c r="E82" s="83">
        <f>E73</f>
        <v>466</v>
      </c>
      <c r="F82" s="62"/>
      <c r="G82" s="62"/>
      <c r="H82" s="112"/>
      <c r="I82" s="62"/>
      <c r="J82" s="62"/>
      <c r="K82" s="62"/>
      <c r="L82" s="62"/>
      <c r="M82" s="450"/>
      <c r="N82" s="79"/>
      <c r="O82" s="79"/>
      <c r="P82" s="79"/>
      <c r="Q82" s="79"/>
      <c r="R82" s="79"/>
    </row>
    <row r="83" spans="1:18" s="24" customFormat="1" ht="18" customHeight="1">
      <c r="A83" s="31" t="s">
        <v>21</v>
      </c>
      <c r="B83" s="19" t="s">
        <v>24</v>
      </c>
      <c r="C83" s="58" t="s">
        <v>39</v>
      </c>
      <c r="D83" s="59">
        <v>1</v>
      </c>
      <c r="E83" s="59">
        <f>D83*E82</f>
        <v>466</v>
      </c>
      <c r="F83" s="58"/>
      <c r="G83" s="58"/>
      <c r="H83" s="111"/>
      <c r="I83" s="58"/>
      <c r="J83" s="58"/>
      <c r="K83" s="58"/>
      <c r="L83" s="58"/>
      <c r="M83" s="450"/>
      <c r="N83" s="79"/>
      <c r="O83" s="79"/>
      <c r="P83" s="79"/>
      <c r="Q83" s="79"/>
      <c r="R83" s="79"/>
    </row>
    <row r="84" spans="1:18" s="24" customFormat="1" ht="18" customHeight="1">
      <c r="A84" s="31" t="s">
        <v>21</v>
      </c>
      <c r="B84" s="39" t="s">
        <v>14</v>
      </c>
      <c r="C84" s="58" t="s">
        <v>40</v>
      </c>
      <c r="D84" s="59">
        <f>0.05*1.05</f>
        <v>5.2500000000000005E-2</v>
      </c>
      <c r="E84" s="59">
        <f>D84*E82</f>
        <v>24.465000000000003</v>
      </c>
      <c r="F84" s="58"/>
      <c r="G84" s="58"/>
      <c r="H84" s="111"/>
      <c r="I84" s="58"/>
      <c r="J84" s="58"/>
      <c r="K84" s="58"/>
      <c r="L84" s="58"/>
      <c r="M84" s="450"/>
      <c r="N84" s="79"/>
      <c r="O84" s="79"/>
      <c r="P84" s="79"/>
      <c r="Q84" s="79"/>
      <c r="R84" s="79"/>
    </row>
    <row r="85" spans="1:18" s="24" customFormat="1" ht="18" customHeight="1">
      <c r="A85" s="31" t="s">
        <v>21</v>
      </c>
      <c r="B85" s="19" t="s">
        <v>31</v>
      </c>
      <c r="C85" s="58" t="s">
        <v>39</v>
      </c>
      <c r="D85" s="59">
        <v>1</v>
      </c>
      <c r="E85" s="59">
        <f>D85*E82</f>
        <v>466</v>
      </c>
      <c r="F85" s="58"/>
      <c r="G85" s="58"/>
      <c r="H85" s="111"/>
      <c r="I85" s="58"/>
      <c r="J85" s="58"/>
      <c r="K85" s="58"/>
      <c r="L85" s="58"/>
      <c r="M85" s="450"/>
      <c r="N85" s="79"/>
      <c r="O85" s="79"/>
      <c r="P85" s="79"/>
      <c r="Q85" s="79"/>
      <c r="R85" s="79"/>
    </row>
    <row r="86" spans="1:18" s="24" customFormat="1" ht="28.5" customHeight="1">
      <c r="A86" s="31"/>
      <c r="B86" s="78" t="s">
        <v>119</v>
      </c>
      <c r="C86" s="58"/>
      <c r="D86" s="59"/>
      <c r="E86" s="59"/>
      <c r="F86" s="58"/>
      <c r="G86" s="58"/>
      <c r="H86" s="111"/>
      <c r="I86" s="58"/>
      <c r="J86" s="58"/>
      <c r="K86" s="58"/>
      <c r="L86" s="58"/>
      <c r="M86" s="450"/>
      <c r="N86" s="79"/>
      <c r="O86" s="79"/>
      <c r="P86" s="79"/>
      <c r="Q86" s="79"/>
      <c r="R86" s="79"/>
    </row>
    <row r="87" spans="1:18" s="22" customFormat="1" ht="38.25" customHeight="1">
      <c r="A87" s="80">
        <f>A82+1</f>
        <v>16</v>
      </c>
      <c r="B87" s="84" t="s">
        <v>53</v>
      </c>
      <c r="C87" s="82" t="s">
        <v>28</v>
      </c>
      <c r="D87" s="83"/>
      <c r="E87" s="83">
        <f>E100*0.15</f>
        <v>41.174999999999997</v>
      </c>
      <c r="F87" s="62"/>
      <c r="G87" s="62"/>
      <c r="H87" s="112"/>
      <c r="I87" s="62"/>
      <c r="J87" s="62"/>
      <c r="K87" s="62"/>
      <c r="L87" s="62"/>
      <c r="M87" s="450"/>
      <c r="N87" s="79"/>
      <c r="O87" s="79"/>
      <c r="P87" s="79"/>
      <c r="Q87" s="79"/>
      <c r="R87" s="79"/>
    </row>
    <row r="88" spans="1:18" s="21" customFormat="1" ht="14.5">
      <c r="A88" s="20" t="s">
        <v>21</v>
      </c>
      <c r="B88" s="57" t="s">
        <v>24</v>
      </c>
      <c r="C88" s="58" t="s">
        <v>28</v>
      </c>
      <c r="D88" s="59">
        <v>1</v>
      </c>
      <c r="E88" s="59">
        <f>D88*E87</f>
        <v>41.174999999999997</v>
      </c>
      <c r="F88" s="58"/>
      <c r="G88" s="58"/>
      <c r="H88" s="111"/>
      <c r="I88" s="58"/>
      <c r="J88" s="58"/>
      <c r="K88" s="58"/>
      <c r="L88" s="58"/>
      <c r="M88" s="450"/>
      <c r="N88" s="79"/>
      <c r="O88" s="79"/>
      <c r="P88" s="79"/>
      <c r="Q88" s="79"/>
      <c r="R88" s="79"/>
    </row>
    <row r="89" spans="1:18" s="21" customFormat="1" ht="14.5">
      <c r="A89" s="20" t="s">
        <v>21</v>
      </c>
      <c r="B89" s="61" t="s">
        <v>45</v>
      </c>
      <c r="C89" s="58" t="s">
        <v>38</v>
      </c>
      <c r="D89" s="85">
        <v>2.1600000000000001E-2</v>
      </c>
      <c r="E89" s="59">
        <f>D89*E87</f>
        <v>0.88937999999999995</v>
      </c>
      <c r="F89" s="58"/>
      <c r="G89" s="58"/>
      <c r="H89" s="111"/>
      <c r="I89" s="58"/>
      <c r="J89" s="58"/>
      <c r="K89" s="58"/>
      <c r="L89" s="58"/>
      <c r="M89" s="450"/>
      <c r="N89" s="79"/>
      <c r="O89" s="79"/>
      <c r="P89" s="79"/>
      <c r="Q89" s="79"/>
      <c r="R89" s="79"/>
    </row>
    <row r="90" spans="1:18" s="21" customFormat="1" ht="14.5">
      <c r="A90" s="20" t="s">
        <v>21</v>
      </c>
      <c r="B90" s="61" t="s">
        <v>46</v>
      </c>
      <c r="C90" s="58" t="s">
        <v>38</v>
      </c>
      <c r="D90" s="85">
        <v>2.58E-2</v>
      </c>
      <c r="E90" s="59">
        <f>D90*E87</f>
        <v>1.0623149999999999</v>
      </c>
      <c r="F90" s="58"/>
      <c r="G90" s="58"/>
      <c r="H90" s="111"/>
      <c r="I90" s="58"/>
      <c r="J90" s="58"/>
      <c r="K90" s="58"/>
      <c r="L90" s="58"/>
      <c r="M90" s="450"/>
      <c r="N90" s="79"/>
      <c r="O90" s="79"/>
      <c r="P90" s="79"/>
      <c r="Q90" s="79"/>
      <c r="R90" s="79"/>
    </row>
    <row r="91" spans="1:18" s="21" customFormat="1" ht="14.5">
      <c r="A91" s="20" t="s">
        <v>21</v>
      </c>
      <c r="B91" s="61" t="s">
        <v>47</v>
      </c>
      <c r="C91" s="58" t="s">
        <v>38</v>
      </c>
      <c r="D91" s="85">
        <v>2.7300000000000001E-2</v>
      </c>
      <c r="E91" s="59">
        <f>D91*E87</f>
        <v>1.1240775000000001</v>
      </c>
      <c r="F91" s="58"/>
      <c r="G91" s="58"/>
      <c r="H91" s="111"/>
      <c r="I91" s="58"/>
      <c r="J91" s="58"/>
      <c r="K91" s="58"/>
      <c r="L91" s="58"/>
      <c r="M91" s="450"/>
      <c r="N91" s="79"/>
      <c r="O91" s="79"/>
      <c r="P91" s="79"/>
      <c r="Q91" s="79"/>
      <c r="R91" s="79"/>
    </row>
    <row r="92" spans="1:18" s="21" customFormat="1" ht="14.5">
      <c r="A92" s="20" t="s">
        <v>21</v>
      </c>
      <c r="B92" s="19" t="s">
        <v>66</v>
      </c>
      <c r="C92" s="58" t="s">
        <v>28</v>
      </c>
      <c r="D92" s="59">
        <v>1.22</v>
      </c>
      <c r="E92" s="59">
        <f>D92*E87</f>
        <v>50.233499999999992</v>
      </c>
      <c r="F92" s="58"/>
      <c r="G92" s="58"/>
      <c r="H92" s="111"/>
      <c r="I92" s="58"/>
      <c r="J92" s="58"/>
      <c r="K92" s="58"/>
      <c r="L92" s="58"/>
      <c r="M92" s="450"/>
      <c r="N92" s="79"/>
      <c r="O92" s="79"/>
      <c r="P92" s="79"/>
      <c r="Q92" s="79"/>
      <c r="R92" s="79"/>
    </row>
    <row r="93" spans="1:18" s="21" customFormat="1" ht="14.5">
      <c r="A93" s="20" t="s">
        <v>21</v>
      </c>
      <c r="B93" s="19" t="s">
        <v>31</v>
      </c>
      <c r="C93" s="58" t="s">
        <v>28</v>
      </c>
      <c r="D93" s="59">
        <v>1</v>
      </c>
      <c r="E93" s="59">
        <f>D93*E87</f>
        <v>41.174999999999997</v>
      </c>
      <c r="F93" s="58"/>
      <c r="G93" s="58"/>
      <c r="H93" s="111"/>
      <c r="I93" s="58"/>
      <c r="J93" s="58"/>
      <c r="K93" s="58"/>
      <c r="L93" s="58"/>
      <c r="M93" s="450"/>
      <c r="N93" s="79"/>
      <c r="O93" s="79"/>
      <c r="P93" s="79"/>
      <c r="Q93" s="79"/>
      <c r="R93" s="79"/>
    </row>
    <row r="94" spans="1:18" s="21" customFormat="1" ht="38.25" customHeight="1">
      <c r="A94" s="80">
        <f>A87+1</f>
        <v>17</v>
      </c>
      <c r="B94" s="84" t="s">
        <v>118</v>
      </c>
      <c r="C94" s="82" t="s">
        <v>28</v>
      </c>
      <c r="D94" s="83"/>
      <c r="E94" s="83">
        <f>E100*0.1</f>
        <v>27.450000000000003</v>
      </c>
      <c r="F94" s="62"/>
      <c r="G94" s="62"/>
      <c r="H94" s="112"/>
      <c r="I94" s="62"/>
      <c r="J94" s="62"/>
      <c r="K94" s="62"/>
      <c r="L94" s="62"/>
      <c r="M94" s="450"/>
      <c r="N94" s="79"/>
      <c r="O94" s="79"/>
      <c r="P94" s="79"/>
      <c r="Q94" s="79"/>
      <c r="R94" s="79"/>
    </row>
    <row r="95" spans="1:18" s="21" customFormat="1" ht="14.5">
      <c r="A95" s="20" t="s">
        <v>21</v>
      </c>
      <c r="B95" s="57" t="s">
        <v>24</v>
      </c>
      <c r="C95" s="58" t="s">
        <v>28</v>
      </c>
      <c r="D95" s="59">
        <v>1</v>
      </c>
      <c r="E95" s="59">
        <f>D95*E94</f>
        <v>27.450000000000003</v>
      </c>
      <c r="F95" s="58"/>
      <c r="G95" s="58"/>
      <c r="H95" s="111"/>
      <c r="I95" s="58"/>
      <c r="J95" s="58"/>
      <c r="K95" s="58"/>
      <c r="L95" s="58"/>
      <c r="M95" s="450"/>
      <c r="N95" s="79"/>
      <c r="O95" s="79"/>
      <c r="P95" s="79"/>
      <c r="Q95" s="79"/>
      <c r="R95" s="79"/>
    </row>
    <row r="96" spans="1:18" s="21" customFormat="1" ht="14.5">
      <c r="A96" s="20" t="s">
        <v>21</v>
      </c>
      <c r="B96" s="61" t="s">
        <v>45</v>
      </c>
      <c r="C96" s="58" t="s">
        <v>38</v>
      </c>
      <c r="D96" s="85">
        <f>2.16/100</f>
        <v>2.1600000000000001E-2</v>
      </c>
      <c r="E96" s="59">
        <f>D96*E94</f>
        <v>0.59292000000000011</v>
      </c>
      <c r="F96" s="58"/>
      <c r="G96" s="58"/>
      <c r="H96" s="111"/>
      <c r="I96" s="58"/>
      <c r="J96" s="58"/>
      <c r="K96" s="58"/>
      <c r="L96" s="58"/>
      <c r="M96" s="450"/>
      <c r="N96" s="79"/>
      <c r="O96" s="79"/>
      <c r="P96" s="79"/>
      <c r="Q96" s="79"/>
      <c r="R96" s="79"/>
    </row>
    <row r="97" spans="1:18" s="21" customFormat="1" ht="14.5">
      <c r="A97" s="20" t="s">
        <v>21</v>
      </c>
      <c r="B97" s="61" t="s">
        <v>47</v>
      </c>
      <c r="C97" s="58" t="s">
        <v>38</v>
      </c>
      <c r="D97" s="85">
        <f>(0.41+1.82)/100</f>
        <v>2.23E-2</v>
      </c>
      <c r="E97" s="59">
        <f>D97*E94</f>
        <v>0.6121350000000001</v>
      </c>
      <c r="F97" s="58"/>
      <c r="G97" s="58"/>
      <c r="H97" s="111"/>
      <c r="I97" s="58"/>
      <c r="J97" s="58"/>
      <c r="K97" s="58"/>
      <c r="L97" s="58"/>
      <c r="M97" s="450"/>
      <c r="N97" s="79"/>
      <c r="O97" s="79"/>
      <c r="P97" s="79"/>
      <c r="Q97" s="79"/>
      <c r="R97" s="79"/>
    </row>
    <row r="98" spans="1:18" s="21" customFormat="1" ht="14.5">
      <c r="A98" s="20" t="s">
        <v>21</v>
      </c>
      <c r="B98" s="19" t="s">
        <v>68</v>
      </c>
      <c r="C98" s="58" t="s">
        <v>28</v>
      </c>
      <c r="D98" s="59">
        <v>1.1200000000000001</v>
      </c>
      <c r="E98" s="59">
        <f>D98*E94</f>
        <v>30.744000000000007</v>
      </c>
      <c r="F98" s="58"/>
      <c r="G98" s="58"/>
      <c r="H98" s="111"/>
      <c r="I98" s="58"/>
      <c r="J98" s="58"/>
      <c r="K98" s="58"/>
      <c r="L98" s="58"/>
      <c r="M98" s="450"/>
      <c r="N98" s="79"/>
      <c r="O98" s="79"/>
      <c r="P98" s="79"/>
      <c r="Q98" s="79"/>
      <c r="R98" s="79"/>
    </row>
    <row r="99" spans="1:18" s="21" customFormat="1" ht="14.5">
      <c r="A99" s="20" t="s">
        <v>21</v>
      </c>
      <c r="B99" s="19" t="s">
        <v>31</v>
      </c>
      <c r="C99" s="58" t="s">
        <v>28</v>
      </c>
      <c r="D99" s="59">
        <v>1</v>
      </c>
      <c r="E99" s="59">
        <f>D99*E94</f>
        <v>27.450000000000003</v>
      </c>
      <c r="F99" s="58"/>
      <c r="G99" s="58"/>
      <c r="H99" s="111"/>
      <c r="I99" s="58"/>
      <c r="J99" s="58"/>
      <c r="K99" s="58"/>
      <c r="L99" s="58"/>
      <c r="M99" s="450"/>
      <c r="N99" s="79"/>
      <c r="O99" s="79"/>
      <c r="P99" s="79"/>
      <c r="Q99" s="79"/>
      <c r="R99" s="79"/>
    </row>
    <row r="100" spans="1:18" s="22" customFormat="1" ht="33.75" customHeight="1">
      <c r="A100" s="80">
        <f>A94+1</f>
        <v>18</v>
      </c>
      <c r="B100" s="81" t="s">
        <v>54</v>
      </c>
      <c r="C100" s="82" t="s">
        <v>39</v>
      </c>
      <c r="D100" s="83"/>
      <c r="E100" s="83">
        <f>'მოცულობები - ტერიტ.'!C7</f>
        <v>274.5</v>
      </c>
      <c r="F100" s="62"/>
      <c r="G100" s="62"/>
      <c r="H100" s="112"/>
      <c r="I100" s="62"/>
      <c r="J100" s="62"/>
      <c r="K100" s="62"/>
      <c r="L100" s="62"/>
      <c r="M100" s="450"/>
      <c r="N100" s="79"/>
      <c r="O100" s="79"/>
      <c r="P100" s="79"/>
      <c r="Q100" s="79"/>
      <c r="R100" s="79"/>
    </row>
    <row r="101" spans="1:18" s="22" customFormat="1" ht="14.5">
      <c r="A101" s="20" t="s">
        <v>21</v>
      </c>
      <c r="B101" s="57" t="s">
        <v>24</v>
      </c>
      <c r="C101" s="58" t="s">
        <v>39</v>
      </c>
      <c r="D101" s="59">
        <v>1</v>
      </c>
      <c r="E101" s="59">
        <f>D101*E100</f>
        <v>274.5</v>
      </c>
      <c r="F101" s="62"/>
      <c r="G101" s="58"/>
      <c r="H101" s="111"/>
      <c r="I101" s="58"/>
      <c r="J101" s="58"/>
      <c r="K101" s="58"/>
      <c r="L101" s="58"/>
      <c r="M101" s="450"/>
      <c r="N101" s="79"/>
      <c r="O101" s="79"/>
      <c r="P101" s="79"/>
      <c r="Q101" s="79"/>
      <c r="R101" s="79"/>
    </row>
    <row r="102" spans="1:18" s="22" customFormat="1" ht="14.5">
      <c r="A102" s="20" t="s">
        <v>21</v>
      </c>
      <c r="B102" s="19" t="s">
        <v>55</v>
      </c>
      <c r="C102" s="58" t="s">
        <v>39</v>
      </c>
      <c r="D102" s="59">
        <v>1.05</v>
      </c>
      <c r="E102" s="59">
        <f>D102*E100</f>
        <v>288.22500000000002</v>
      </c>
      <c r="F102" s="58"/>
      <c r="G102" s="58"/>
      <c r="H102" s="111"/>
      <c r="I102" s="58"/>
      <c r="J102" s="58"/>
      <c r="K102" s="58"/>
      <c r="L102" s="58"/>
      <c r="M102" s="450"/>
      <c r="N102" s="79"/>
      <c r="O102" s="79"/>
      <c r="P102" s="79"/>
      <c r="Q102" s="79"/>
      <c r="R102" s="79"/>
    </row>
    <row r="103" spans="1:18" s="21" customFormat="1" ht="14.5">
      <c r="A103" s="20" t="s">
        <v>21</v>
      </c>
      <c r="B103" s="19" t="s">
        <v>31</v>
      </c>
      <c r="C103" s="58" t="s">
        <v>39</v>
      </c>
      <c r="D103" s="59">
        <v>1</v>
      </c>
      <c r="E103" s="59">
        <f>D103*E100</f>
        <v>274.5</v>
      </c>
      <c r="F103" s="58"/>
      <c r="G103" s="58"/>
      <c r="H103" s="111"/>
      <c r="I103" s="58"/>
      <c r="J103" s="58"/>
      <c r="K103" s="58"/>
      <c r="L103" s="58"/>
      <c r="M103" s="450"/>
      <c r="N103" s="79"/>
      <c r="O103" s="79"/>
      <c r="P103" s="79"/>
      <c r="Q103" s="79"/>
      <c r="R103" s="79"/>
    </row>
    <row r="104" spans="1:18" s="22" customFormat="1" ht="33.75" customHeight="1">
      <c r="A104" s="80">
        <f>A100+1</f>
        <v>19</v>
      </c>
      <c r="B104" s="81" t="s">
        <v>50</v>
      </c>
      <c r="C104" s="82" t="s">
        <v>28</v>
      </c>
      <c r="D104" s="83"/>
      <c r="E104" s="83">
        <f>E100*0.05</f>
        <v>13.725000000000001</v>
      </c>
      <c r="F104" s="62"/>
      <c r="G104" s="62"/>
      <c r="H104" s="112"/>
      <c r="I104" s="62"/>
      <c r="J104" s="62"/>
      <c r="K104" s="62"/>
      <c r="L104" s="62"/>
      <c r="M104" s="450"/>
      <c r="N104" s="79"/>
      <c r="O104" s="79"/>
      <c r="P104" s="79"/>
      <c r="Q104" s="79"/>
      <c r="R104" s="79"/>
    </row>
    <row r="105" spans="1:18" s="21" customFormat="1" ht="14.5">
      <c r="A105" s="20" t="s">
        <v>21</v>
      </c>
      <c r="B105" s="19" t="s">
        <v>24</v>
      </c>
      <c r="C105" s="58" t="s">
        <v>28</v>
      </c>
      <c r="D105" s="59">
        <v>1</v>
      </c>
      <c r="E105" s="59">
        <f>D105*E104</f>
        <v>13.725000000000001</v>
      </c>
      <c r="F105" s="58"/>
      <c r="G105" s="58"/>
      <c r="H105" s="111"/>
      <c r="I105" s="58"/>
      <c r="J105" s="58"/>
      <c r="K105" s="58"/>
      <c r="L105" s="58"/>
      <c r="M105" s="450"/>
      <c r="N105" s="79"/>
      <c r="O105" s="79"/>
      <c r="P105" s="79"/>
      <c r="Q105" s="79"/>
      <c r="R105" s="79"/>
    </row>
    <row r="106" spans="1:18" s="24" customFormat="1" ht="16">
      <c r="A106" s="31" t="s">
        <v>21</v>
      </c>
      <c r="B106" s="39" t="s">
        <v>69</v>
      </c>
      <c r="C106" s="58" t="s">
        <v>28</v>
      </c>
      <c r="D106" s="59">
        <v>1.02</v>
      </c>
      <c r="E106" s="59">
        <f>D106*E104</f>
        <v>13.999500000000001</v>
      </c>
      <c r="F106" s="58"/>
      <c r="G106" s="58"/>
      <c r="H106" s="111"/>
      <c r="I106" s="58"/>
      <c r="J106" s="58"/>
      <c r="K106" s="58"/>
      <c r="L106" s="58"/>
      <c r="M106" s="450"/>
      <c r="N106" s="79"/>
      <c r="O106" s="79"/>
      <c r="P106" s="79"/>
      <c r="Q106" s="79"/>
      <c r="R106" s="79"/>
    </row>
    <row r="107" spans="1:18" s="21" customFormat="1" ht="14.5">
      <c r="A107" s="20" t="s">
        <v>21</v>
      </c>
      <c r="B107" s="19" t="s">
        <v>31</v>
      </c>
      <c r="C107" s="58" t="s">
        <v>28</v>
      </c>
      <c r="D107" s="59">
        <v>1</v>
      </c>
      <c r="E107" s="59">
        <f>D107*E104</f>
        <v>13.725000000000001</v>
      </c>
      <c r="F107" s="58"/>
      <c r="G107" s="58"/>
      <c r="H107" s="111"/>
      <c r="I107" s="58"/>
      <c r="J107" s="58"/>
      <c r="K107" s="58"/>
      <c r="L107" s="58"/>
      <c r="M107" s="450"/>
      <c r="N107" s="79"/>
      <c r="O107" s="79"/>
      <c r="P107" s="79"/>
      <c r="Q107" s="79"/>
      <c r="R107" s="79"/>
    </row>
    <row r="108" spans="1:18" s="23" customFormat="1" ht="36" customHeight="1">
      <c r="A108" s="87">
        <f>A104+1</f>
        <v>20</v>
      </c>
      <c r="B108" s="88" t="s">
        <v>117</v>
      </c>
      <c r="C108" s="82" t="s">
        <v>39</v>
      </c>
      <c r="D108" s="83"/>
      <c r="E108" s="83">
        <f>E100</f>
        <v>274.5</v>
      </c>
      <c r="F108" s="62"/>
      <c r="G108" s="62"/>
      <c r="H108" s="112"/>
      <c r="I108" s="62"/>
      <c r="J108" s="62"/>
      <c r="K108" s="62"/>
      <c r="L108" s="62"/>
      <c r="M108" s="450"/>
      <c r="N108" s="79"/>
      <c r="O108" s="79"/>
      <c r="P108" s="79"/>
      <c r="Q108" s="79"/>
      <c r="R108" s="79"/>
    </row>
    <row r="109" spans="1:18" s="21" customFormat="1" ht="14.5">
      <c r="A109" s="20" t="s">
        <v>21</v>
      </c>
      <c r="B109" s="19" t="s">
        <v>24</v>
      </c>
      <c r="C109" s="58" t="s">
        <v>39</v>
      </c>
      <c r="D109" s="59">
        <v>1</v>
      </c>
      <c r="E109" s="59">
        <f>D109*E108</f>
        <v>274.5</v>
      </c>
      <c r="F109" s="58"/>
      <c r="G109" s="58"/>
      <c r="H109" s="111"/>
      <c r="I109" s="58"/>
      <c r="J109" s="58"/>
      <c r="K109" s="58"/>
      <c r="L109" s="58"/>
      <c r="M109" s="450"/>
      <c r="N109" s="79"/>
      <c r="O109" s="79"/>
      <c r="P109" s="79"/>
      <c r="Q109" s="79"/>
      <c r="R109" s="79"/>
    </row>
    <row r="110" spans="1:18" s="24" customFormat="1" ht="16">
      <c r="A110" s="31" t="s">
        <v>21</v>
      </c>
      <c r="B110" s="39" t="s">
        <v>120</v>
      </c>
      <c r="C110" s="58" t="s">
        <v>39</v>
      </c>
      <c r="D110" s="59">
        <v>1.05</v>
      </c>
      <c r="E110" s="59">
        <f>D110*E108</f>
        <v>288.22500000000002</v>
      </c>
      <c r="F110" s="58"/>
      <c r="G110" s="58"/>
      <c r="H110" s="111"/>
      <c r="I110" s="58"/>
      <c r="J110" s="58"/>
      <c r="K110" s="58"/>
      <c r="L110" s="58"/>
      <c r="M110" s="450"/>
      <c r="N110" s="79"/>
      <c r="O110" s="79"/>
      <c r="P110" s="79"/>
      <c r="Q110" s="79"/>
      <c r="R110" s="79"/>
    </row>
    <row r="111" spans="1:18" s="21" customFormat="1" ht="14.5">
      <c r="A111" s="20" t="s">
        <v>21</v>
      </c>
      <c r="B111" s="19" t="s">
        <v>31</v>
      </c>
      <c r="C111" s="58" t="s">
        <v>39</v>
      </c>
      <c r="D111" s="59">
        <v>1</v>
      </c>
      <c r="E111" s="59">
        <f>D111*E108</f>
        <v>274.5</v>
      </c>
      <c r="F111" s="58"/>
      <c r="G111" s="58"/>
      <c r="H111" s="111"/>
      <c r="I111" s="58"/>
      <c r="J111" s="58"/>
      <c r="K111" s="58"/>
      <c r="L111" s="58"/>
      <c r="M111" s="450"/>
      <c r="N111" s="79"/>
      <c r="O111" s="79"/>
      <c r="P111" s="79"/>
      <c r="Q111" s="79"/>
      <c r="R111" s="79"/>
    </row>
    <row r="112" spans="1:18" s="21" customFormat="1" ht="28.5" customHeight="1">
      <c r="A112" s="20"/>
      <c r="B112" s="78" t="s">
        <v>121</v>
      </c>
      <c r="C112" s="58"/>
      <c r="D112" s="59"/>
      <c r="E112" s="59"/>
      <c r="F112" s="58"/>
      <c r="G112" s="58"/>
      <c r="H112" s="111"/>
      <c r="I112" s="58"/>
      <c r="J112" s="58"/>
      <c r="K112" s="58"/>
      <c r="L112" s="58"/>
      <c r="M112" s="450"/>
      <c r="N112" s="79"/>
      <c r="O112" s="79"/>
      <c r="P112" s="79"/>
      <c r="Q112" s="79"/>
      <c r="R112" s="79"/>
    </row>
    <row r="113" spans="1:18" s="26" customFormat="1" ht="25.5" customHeight="1">
      <c r="A113" s="89">
        <f>A108+1</f>
        <v>21</v>
      </c>
      <c r="B113" s="90" t="s">
        <v>33</v>
      </c>
      <c r="C113" s="82" t="s">
        <v>41</v>
      </c>
      <c r="D113" s="83"/>
      <c r="E113" s="83">
        <f>'მოცულობები - ტერიტ.'!C9</f>
        <v>125.94</v>
      </c>
      <c r="F113" s="62"/>
      <c r="G113" s="62"/>
      <c r="H113" s="112"/>
      <c r="I113" s="62"/>
      <c r="J113" s="62"/>
      <c r="K113" s="62"/>
      <c r="L113" s="62"/>
      <c r="M113" s="450"/>
      <c r="N113" s="79"/>
      <c r="O113" s="79"/>
      <c r="P113" s="79"/>
      <c r="Q113" s="79"/>
      <c r="R113" s="79"/>
    </row>
    <row r="114" spans="1:18" s="27" customFormat="1" ht="18" customHeight="1">
      <c r="A114" s="25" t="s">
        <v>21</v>
      </c>
      <c r="B114" s="39" t="s">
        <v>8</v>
      </c>
      <c r="C114" s="63" t="str">
        <f>C113</f>
        <v xml:space="preserve">გრ.მ </v>
      </c>
      <c r="D114" s="64">
        <v>1</v>
      </c>
      <c r="E114" s="64">
        <f>D114*E113</f>
        <v>125.94</v>
      </c>
      <c r="F114" s="58"/>
      <c r="G114" s="58"/>
      <c r="H114" s="111"/>
      <c r="I114" s="58"/>
      <c r="J114" s="58"/>
      <c r="K114" s="58"/>
      <c r="L114" s="58"/>
      <c r="M114" s="450"/>
      <c r="N114" s="79"/>
      <c r="O114" s="79"/>
      <c r="P114" s="79"/>
      <c r="Q114" s="79"/>
      <c r="R114" s="79"/>
    </row>
    <row r="115" spans="1:18" s="27" customFormat="1" ht="18" customHeight="1">
      <c r="A115" s="25" t="s">
        <v>21</v>
      </c>
      <c r="B115" s="39" t="s">
        <v>67</v>
      </c>
      <c r="C115" s="63" t="str">
        <f>C113</f>
        <v xml:space="preserve">გრ.მ </v>
      </c>
      <c r="D115" s="64">
        <v>1.05</v>
      </c>
      <c r="E115" s="64">
        <f>D115*E113</f>
        <v>132.23699999999999</v>
      </c>
      <c r="F115" s="58"/>
      <c r="G115" s="58"/>
      <c r="H115" s="111"/>
      <c r="I115" s="58"/>
      <c r="J115" s="58"/>
      <c r="K115" s="58"/>
      <c r="L115" s="58"/>
      <c r="M115" s="450"/>
      <c r="N115" s="79"/>
      <c r="O115" s="79"/>
      <c r="P115" s="79"/>
      <c r="Q115" s="79"/>
      <c r="R115" s="79"/>
    </row>
    <row r="116" spans="1:18" s="28" customFormat="1" ht="18" customHeight="1">
      <c r="A116" s="34" t="s">
        <v>21</v>
      </c>
      <c r="B116" s="39" t="s">
        <v>203</v>
      </c>
      <c r="C116" s="58" t="s">
        <v>28</v>
      </c>
      <c r="D116" s="86">
        <v>5.8999999999999997E-2</v>
      </c>
      <c r="E116" s="64">
        <f>D116*E113</f>
        <v>7.4304599999999992</v>
      </c>
      <c r="F116" s="58"/>
      <c r="G116" s="58"/>
      <c r="H116" s="111"/>
      <c r="I116" s="58"/>
      <c r="J116" s="58"/>
      <c r="K116" s="58"/>
      <c r="L116" s="58"/>
      <c r="M116" s="450"/>
      <c r="N116" s="79"/>
      <c r="O116" s="79"/>
      <c r="P116" s="79"/>
      <c r="Q116" s="79"/>
      <c r="R116" s="79"/>
    </row>
    <row r="117" spans="1:18" s="28" customFormat="1" ht="18" customHeight="1">
      <c r="A117" s="34" t="s">
        <v>21</v>
      </c>
      <c r="B117" s="39" t="s">
        <v>9</v>
      </c>
      <c r="C117" s="58" t="s">
        <v>28</v>
      </c>
      <c r="D117" s="64">
        <v>6.0000000000000001E-3</v>
      </c>
      <c r="E117" s="64">
        <f>D117*E113</f>
        <v>0.75563999999999998</v>
      </c>
      <c r="F117" s="58"/>
      <c r="G117" s="58"/>
      <c r="H117" s="111"/>
      <c r="I117" s="58"/>
      <c r="J117" s="58"/>
      <c r="K117" s="58"/>
      <c r="L117" s="58"/>
      <c r="M117" s="450"/>
      <c r="N117" s="79"/>
      <c r="O117" s="79"/>
      <c r="P117" s="79"/>
      <c r="Q117" s="79"/>
      <c r="R117" s="79"/>
    </row>
    <row r="118" spans="1:18" s="29" customFormat="1" ht="18" customHeight="1">
      <c r="A118" s="25" t="s">
        <v>21</v>
      </c>
      <c r="B118" s="19" t="s">
        <v>68</v>
      </c>
      <c r="C118" s="58" t="s">
        <v>28</v>
      </c>
      <c r="D118" s="59">
        <v>1.1599999999999999</v>
      </c>
      <c r="E118" s="59">
        <f>D118*E117</f>
        <v>0.87654239999999994</v>
      </c>
      <c r="F118" s="58"/>
      <c r="G118" s="58"/>
      <c r="H118" s="111"/>
      <c r="I118" s="58"/>
      <c r="J118" s="58"/>
      <c r="K118" s="58"/>
      <c r="L118" s="58"/>
      <c r="M118" s="450"/>
      <c r="N118" s="79"/>
      <c r="O118" s="79"/>
      <c r="P118" s="79"/>
      <c r="Q118" s="79"/>
      <c r="R118" s="79"/>
    </row>
    <row r="119" spans="1:18" s="29" customFormat="1" ht="18" customHeight="1">
      <c r="A119" s="25" t="s">
        <v>21</v>
      </c>
      <c r="B119" s="39" t="s">
        <v>10</v>
      </c>
      <c r="C119" s="58" t="s">
        <v>42</v>
      </c>
      <c r="D119" s="59">
        <v>0.33800000000000002</v>
      </c>
      <c r="E119" s="59">
        <f>D119*E117</f>
        <v>0.25540632000000002</v>
      </c>
      <c r="F119" s="58"/>
      <c r="G119" s="58"/>
      <c r="H119" s="111"/>
      <c r="I119" s="58"/>
      <c r="J119" s="58"/>
      <c r="K119" s="58"/>
      <c r="L119" s="58"/>
      <c r="M119" s="450"/>
      <c r="N119" s="79"/>
      <c r="O119" s="79"/>
      <c r="P119" s="79"/>
      <c r="Q119" s="79"/>
      <c r="R119" s="79"/>
    </row>
    <row r="120" spans="1:18" s="30" customFormat="1" ht="18" customHeight="1">
      <c r="A120" s="34" t="s">
        <v>21</v>
      </c>
      <c r="B120" s="19" t="s">
        <v>31</v>
      </c>
      <c r="C120" s="58" t="str">
        <f>C113</f>
        <v xml:space="preserve">გრ.მ </v>
      </c>
      <c r="D120" s="59">
        <v>1</v>
      </c>
      <c r="E120" s="59">
        <f>D120*E113</f>
        <v>125.94</v>
      </c>
      <c r="F120" s="58"/>
      <c r="G120" s="58"/>
      <c r="H120" s="111"/>
      <c r="I120" s="58"/>
      <c r="J120" s="58"/>
      <c r="K120" s="58"/>
      <c r="L120" s="58"/>
      <c r="M120" s="450"/>
      <c r="N120" s="79"/>
      <c r="O120" s="79"/>
      <c r="P120" s="79"/>
      <c r="Q120" s="79"/>
      <c r="R120" s="79"/>
    </row>
    <row r="121" spans="1:18" s="26" customFormat="1" ht="25.5" customHeight="1">
      <c r="A121" s="89">
        <f>A113+1</f>
        <v>22</v>
      </c>
      <c r="B121" s="90" t="s">
        <v>33</v>
      </c>
      <c r="C121" s="82" t="s">
        <v>41</v>
      </c>
      <c r="D121" s="83"/>
      <c r="E121" s="83">
        <f>'მოცულობები - ტერიტ.'!C8</f>
        <v>530.42900000000009</v>
      </c>
      <c r="F121" s="62"/>
      <c r="G121" s="62"/>
      <c r="H121" s="112"/>
      <c r="I121" s="62"/>
      <c r="J121" s="62"/>
      <c r="K121" s="62"/>
      <c r="L121" s="62"/>
      <c r="M121" s="450"/>
      <c r="N121" s="79"/>
      <c r="O121" s="79"/>
      <c r="P121" s="79"/>
      <c r="Q121" s="79"/>
      <c r="R121" s="79"/>
    </row>
    <row r="122" spans="1:18" s="27" customFormat="1" ht="18" customHeight="1">
      <c r="A122" s="25" t="s">
        <v>21</v>
      </c>
      <c r="B122" s="39" t="s">
        <v>8</v>
      </c>
      <c r="C122" s="63" t="str">
        <f>C121</f>
        <v xml:space="preserve">გრ.მ </v>
      </c>
      <c r="D122" s="64">
        <v>1</v>
      </c>
      <c r="E122" s="64">
        <f>D122*E121</f>
        <v>530.42900000000009</v>
      </c>
      <c r="F122" s="58"/>
      <c r="G122" s="58"/>
      <c r="H122" s="111"/>
      <c r="I122" s="58"/>
      <c r="J122" s="58"/>
      <c r="K122" s="58"/>
      <c r="L122" s="58"/>
      <c r="M122" s="450"/>
      <c r="N122" s="79"/>
      <c r="O122" s="79"/>
      <c r="P122" s="79"/>
      <c r="Q122" s="79"/>
      <c r="R122" s="79"/>
    </row>
    <row r="123" spans="1:18" s="27" customFormat="1" ht="18" customHeight="1">
      <c r="A123" s="25" t="s">
        <v>21</v>
      </c>
      <c r="B123" s="453" t="s">
        <v>67</v>
      </c>
      <c r="C123" s="63" t="str">
        <f>C121</f>
        <v xml:space="preserve">გრ.მ </v>
      </c>
      <c r="D123" s="64">
        <v>1.05</v>
      </c>
      <c r="E123" s="64">
        <f>D123*E121</f>
        <v>556.95045000000016</v>
      </c>
      <c r="F123" s="58"/>
      <c r="G123" s="58"/>
      <c r="H123" s="111"/>
      <c r="I123" s="58"/>
      <c r="J123" s="58"/>
      <c r="K123" s="58"/>
      <c r="L123" s="58"/>
      <c r="M123" s="450"/>
      <c r="N123" s="79"/>
      <c r="O123" s="79"/>
      <c r="P123" s="79"/>
      <c r="Q123" s="79"/>
      <c r="R123" s="79"/>
    </row>
    <row r="124" spans="1:18" s="28" customFormat="1" ht="18" customHeight="1">
      <c r="A124" s="34" t="s">
        <v>21</v>
      </c>
      <c r="B124" s="39" t="s">
        <v>203</v>
      </c>
      <c r="C124" s="58" t="s">
        <v>28</v>
      </c>
      <c r="D124" s="86">
        <v>5.8999999999999997E-2</v>
      </c>
      <c r="E124" s="64">
        <f>D124*E121</f>
        <v>31.295311000000005</v>
      </c>
      <c r="F124" s="58"/>
      <c r="G124" s="58"/>
      <c r="H124" s="111"/>
      <c r="I124" s="58"/>
      <c r="J124" s="58"/>
      <c r="K124" s="58"/>
      <c r="L124" s="58"/>
      <c r="M124" s="450"/>
      <c r="N124" s="79"/>
      <c r="O124" s="79"/>
      <c r="P124" s="79"/>
      <c r="Q124" s="79"/>
      <c r="R124" s="79"/>
    </row>
    <row r="125" spans="1:18" s="28" customFormat="1" ht="18" customHeight="1">
      <c r="A125" s="34" t="s">
        <v>21</v>
      </c>
      <c r="B125" s="39" t="s">
        <v>9</v>
      </c>
      <c r="C125" s="58" t="s">
        <v>28</v>
      </c>
      <c r="D125" s="64">
        <v>6.0000000000000001E-3</v>
      </c>
      <c r="E125" s="64">
        <f>D125*E121</f>
        <v>3.1825740000000007</v>
      </c>
      <c r="F125" s="58"/>
      <c r="G125" s="58"/>
      <c r="H125" s="111"/>
      <c r="I125" s="58"/>
      <c r="J125" s="58"/>
      <c r="K125" s="58"/>
      <c r="L125" s="58"/>
      <c r="M125" s="450"/>
      <c r="N125" s="79"/>
      <c r="O125" s="79"/>
      <c r="P125" s="79"/>
      <c r="Q125" s="79"/>
      <c r="R125" s="79"/>
    </row>
    <row r="126" spans="1:18" s="29" customFormat="1" ht="18" customHeight="1">
      <c r="A126" s="25" t="s">
        <v>21</v>
      </c>
      <c r="B126" s="19" t="s">
        <v>68</v>
      </c>
      <c r="C126" s="58" t="s">
        <v>28</v>
      </c>
      <c r="D126" s="59">
        <v>1.1599999999999999</v>
      </c>
      <c r="E126" s="59">
        <f>D126*E125</f>
        <v>3.6917858400000005</v>
      </c>
      <c r="F126" s="58"/>
      <c r="G126" s="58"/>
      <c r="H126" s="111"/>
      <c r="I126" s="58"/>
      <c r="J126" s="58"/>
      <c r="K126" s="58"/>
      <c r="L126" s="58"/>
      <c r="M126" s="450"/>
      <c r="N126" s="79"/>
      <c r="O126" s="79"/>
      <c r="P126" s="79"/>
      <c r="Q126" s="79"/>
      <c r="R126" s="79"/>
    </row>
    <row r="127" spans="1:18" s="29" customFormat="1" ht="18" customHeight="1">
      <c r="A127" s="25" t="s">
        <v>21</v>
      </c>
      <c r="B127" s="39" t="s">
        <v>10</v>
      </c>
      <c r="C127" s="58" t="s">
        <v>42</v>
      </c>
      <c r="D127" s="59">
        <v>0.33800000000000002</v>
      </c>
      <c r="E127" s="59">
        <f>D127*E125</f>
        <v>1.0757100120000003</v>
      </c>
      <c r="F127" s="58"/>
      <c r="G127" s="58"/>
      <c r="H127" s="111"/>
      <c r="I127" s="58"/>
      <c r="J127" s="58"/>
      <c r="K127" s="58"/>
      <c r="L127" s="58"/>
      <c r="M127" s="450"/>
      <c r="N127" s="79"/>
      <c r="O127" s="79"/>
      <c r="P127" s="79"/>
      <c r="Q127" s="79"/>
      <c r="R127" s="79"/>
    </row>
    <row r="128" spans="1:18" s="30" customFormat="1" ht="18" customHeight="1">
      <c r="A128" s="34" t="s">
        <v>21</v>
      </c>
      <c r="B128" s="19" t="s">
        <v>31</v>
      </c>
      <c r="C128" s="58" t="str">
        <f>C121</f>
        <v xml:space="preserve">გრ.მ </v>
      </c>
      <c r="D128" s="59">
        <v>1</v>
      </c>
      <c r="E128" s="59">
        <f>D128*E121</f>
        <v>530.42900000000009</v>
      </c>
      <c r="F128" s="58"/>
      <c r="G128" s="58"/>
      <c r="H128" s="111"/>
      <c r="I128" s="58"/>
      <c r="J128" s="58"/>
      <c r="K128" s="58"/>
      <c r="L128" s="58"/>
      <c r="M128" s="450"/>
      <c r="N128" s="79"/>
      <c r="O128" s="79"/>
      <c r="P128" s="79"/>
      <c r="Q128" s="79"/>
      <c r="R128" s="79"/>
    </row>
    <row r="129" spans="1:18" s="30" customFormat="1" ht="27.75" customHeight="1">
      <c r="A129" s="20"/>
      <c r="B129" s="77" t="s">
        <v>56</v>
      </c>
      <c r="C129" s="58"/>
      <c r="D129" s="59"/>
      <c r="E129" s="59"/>
      <c r="F129" s="58"/>
      <c r="G129" s="58"/>
      <c r="H129" s="111"/>
      <c r="I129" s="58"/>
      <c r="J129" s="58"/>
      <c r="K129" s="58"/>
      <c r="L129" s="58"/>
      <c r="M129" s="450"/>
      <c r="N129" s="79"/>
      <c r="O129" s="79"/>
      <c r="P129" s="79"/>
      <c r="Q129" s="79"/>
      <c r="R129" s="79"/>
    </row>
    <row r="130" spans="1:18" s="22" customFormat="1" ht="36" customHeight="1">
      <c r="A130" s="80">
        <f>A121+1</f>
        <v>23</v>
      </c>
      <c r="B130" s="81" t="s">
        <v>57</v>
      </c>
      <c r="C130" s="82" t="s">
        <v>41</v>
      </c>
      <c r="D130" s="83"/>
      <c r="E130" s="83">
        <f>'მოცულობები - ტერიტ.'!C11</f>
        <v>583.87699999999995</v>
      </c>
      <c r="F130" s="62"/>
      <c r="G130" s="62"/>
      <c r="H130" s="112"/>
      <c r="I130" s="62"/>
      <c r="J130" s="62"/>
      <c r="K130" s="62"/>
      <c r="L130" s="62"/>
      <c r="M130" s="450"/>
      <c r="N130" s="79"/>
      <c r="O130" s="79"/>
      <c r="P130" s="79"/>
      <c r="Q130" s="79"/>
      <c r="R130" s="79"/>
    </row>
    <row r="131" spans="1:18" s="23" customFormat="1" ht="36" customHeight="1">
      <c r="A131" s="87">
        <f>A130+1</f>
        <v>24</v>
      </c>
      <c r="B131" s="92" t="s">
        <v>12</v>
      </c>
      <c r="C131" s="82" t="s">
        <v>39</v>
      </c>
      <c r="D131" s="83"/>
      <c r="E131" s="83">
        <f>'მოცულობები - ტერიტ.'!C4</f>
        <v>1256.4999999999998</v>
      </c>
      <c r="F131" s="62"/>
      <c r="G131" s="62"/>
      <c r="H131" s="112"/>
      <c r="I131" s="62"/>
      <c r="J131" s="62"/>
      <c r="K131" s="62"/>
      <c r="L131" s="62"/>
      <c r="M131" s="450"/>
      <c r="N131" s="79"/>
      <c r="O131" s="79"/>
      <c r="P131" s="79"/>
      <c r="Q131" s="79"/>
      <c r="R131" s="79"/>
    </row>
    <row r="132" spans="1:18" s="24" customFormat="1" ht="18" customHeight="1">
      <c r="A132" s="31" t="s">
        <v>21</v>
      </c>
      <c r="B132" s="19" t="s">
        <v>24</v>
      </c>
      <c r="C132" s="58" t="s">
        <v>39</v>
      </c>
      <c r="D132" s="59">
        <v>1</v>
      </c>
      <c r="E132" s="59">
        <f>D132*E131</f>
        <v>1256.4999999999998</v>
      </c>
      <c r="F132" s="58"/>
      <c r="G132" s="58"/>
      <c r="H132" s="111"/>
      <c r="I132" s="58"/>
      <c r="J132" s="58"/>
      <c r="K132" s="58"/>
      <c r="L132" s="58"/>
      <c r="M132" s="450"/>
      <c r="N132" s="79"/>
      <c r="O132" s="79"/>
      <c r="P132" s="79"/>
      <c r="Q132" s="79"/>
      <c r="R132" s="79"/>
    </row>
    <row r="133" spans="1:18" s="24" customFormat="1" ht="16">
      <c r="A133" s="31" t="s">
        <v>21</v>
      </c>
      <c r="B133" s="39" t="s">
        <v>52</v>
      </c>
      <c r="C133" s="58" t="s">
        <v>28</v>
      </c>
      <c r="D133" s="59">
        <f>0.25*1.05</f>
        <v>0.26250000000000001</v>
      </c>
      <c r="E133" s="59">
        <f>D133*E131</f>
        <v>329.83124999999995</v>
      </c>
      <c r="F133" s="58"/>
      <c r="G133" s="58"/>
      <c r="H133" s="111"/>
      <c r="I133" s="58"/>
      <c r="J133" s="58"/>
      <c r="K133" s="58"/>
      <c r="L133" s="58"/>
      <c r="M133" s="450"/>
      <c r="N133" s="79"/>
      <c r="O133" s="79"/>
      <c r="P133" s="79"/>
      <c r="Q133" s="79"/>
      <c r="R133" s="79"/>
    </row>
    <row r="134" spans="1:18" s="24" customFormat="1" ht="18" customHeight="1">
      <c r="A134" s="31" t="s">
        <v>21</v>
      </c>
      <c r="B134" s="19" t="s">
        <v>31</v>
      </c>
      <c r="C134" s="58" t="s">
        <v>39</v>
      </c>
      <c r="D134" s="59">
        <v>1</v>
      </c>
      <c r="E134" s="59">
        <f>D134*E131</f>
        <v>1256.4999999999998</v>
      </c>
      <c r="F134" s="58"/>
      <c r="G134" s="58"/>
      <c r="H134" s="111"/>
      <c r="I134" s="58"/>
      <c r="J134" s="58"/>
      <c r="K134" s="58"/>
      <c r="L134" s="58"/>
      <c r="M134" s="450"/>
      <c r="N134" s="79"/>
      <c r="O134" s="79"/>
      <c r="P134" s="79"/>
      <c r="Q134" s="79"/>
      <c r="R134" s="79"/>
    </row>
    <row r="135" spans="1:18" s="23" customFormat="1" ht="24" customHeight="1">
      <c r="A135" s="87">
        <f>A131+1</f>
        <v>25</v>
      </c>
      <c r="B135" s="92" t="s">
        <v>13</v>
      </c>
      <c r="C135" s="82" t="s">
        <v>39</v>
      </c>
      <c r="D135" s="83"/>
      <c r="E135" s="83">
        <f>E131</f>
        <v>1256.4999999999998</v>
      </c>
      <c r="F135" s="62"/>
      <c r="G135" s="62"/>
      <c r="H135" s="112"/>
      <c r="I135" s="62"/>
      <c r="J135" s="62"/>
      <c r="K135" s="62"/>
      <c r="L135" s="62"/>
      <c r="M135" s="450"/>
      <c r="N135" s="79"/>
      <c r="O135" s="79"/>
      <c r="P135" s="79"/>
      <c r="Q135" s="79"/>
      <c r="R135" s="79"/>
    </row>
    <row r="136" spans="1:18" s="24" customFormat="1" ht="18" customHeight="1">
      <c r="A136" s="31" t="s">
        <v>21</v>
      </c>
      <c r="B136" s="19" t="s">
        <v>24</v>
      </c>
      <c r="C136" s="58" t="s">
        <v>39</v>
      </c>
      <c r="D136" s="59">
        <v>1</v>
      </c>
      <c r="E136" s="59">
        <f>D136*E135</f>
        <v>1256.4999999999998</v>
      </c>
      <c r="F136" s="58"/>
      <c r="G136" s="58"/>
      <c r="H136" s="111"/>
      <c r="I136" s="58"/>
      <c r="J136" s="58"/>
      <c r="K136" s="58"/>
      <c r="L136" s="58"/>
      <c r="M136" s="450"/>
      <c r="N136" s="79"/>
      <c r="O136" s="79"/>
      <c r="P136" s="79"/>
      <c r="Q136" s="79"/>
      <c r="R136" s="79"/>
    </row>
    <row r="137" spans="1:18" s="24" customFormat="1" ht="18" customHeight="1">
      <c r="A137" s="31" t="s">
        <v>21</v>
      </c>
      <c r="B137" s="39" t="s">
        <v>14</v>
      </c>
      <c r="C137" s="58" t="s">
        <v>40</v>
      </c>
      <c r="D137" s="59">
        <f>0.05*1.05</f>
        <v>5.2500000000000005E-2</v>
      </c>
      <c r="E137" s="59">
        <f>D137*E135</f>
        <v>65.966249999999988</v>
      </c>
      <c r="F137" s="58"/>
      <c r="G137" s="58"/>
      <c r="H137" s="111"/>
      <c r="I137" s="58"/>
      <c r="J137" s="58"/>
      <c r="K137" s="58"/>
      <c r="L137" s="58"/>
      <c r="M137" s="450"/>
      <c r="N137" s="79"/>
      <c r="O137" s="79"/>
      <c r="P137" s="79"/>
      <c r="Q137" s="79"/>
      <c r="R137" s="79"/>
    </row>
    <row r="138" spans="1:18" s="24" customFormat="1" ht="18" customHeight="1">
      <c r="A138" s="31" t="s">
        <v>21</v>
      </c>
      <c r="B138" s="19" t="s">
        <v>31</v>
      </c>
      <c r="C138" s="58" t="s">
        <v>39</v>
      </c>
      <c r="D138" s="59">
        <v>1</v>
      </c>
      <c r="E138" s="59">
        <f>D138*E135</f>
        <v>1256.4999999999998</v>
      </c>
      <c r="F138" s="58"/>
      <c r="G138" s="58"/>
      <c r="H138" s="111"/>
      <c r="I138" s="58"/>
      <c r="J138" s="58"/>
      <c r="K138" s="58"/>
      <c r="L138" s="58"/>
      <c r="M138" s="450"/>
      <c r="N138" s="79"/>
      <c r="O138" s="79"/>
      <c r="P138" s="79"/>
      <c r="Q138" s="79"/>
      <c r="R138" s="79"/>
    </row>
    <row r="139" spans="1:18" s="5" customFormat="1" ht="33" customHeight="1">
      <c r="A139" s="71"/>
      <c r="B139" s="71" t="s">
        <v>59</v>
      </c>
      <c r="C139" s="71" t="s">
        <v>65</v>
      </c>
      <c r="D139" s="75"/>
      <c r="E139" s="76"/>
      <c r="F139" s="58"/>
      <c r="G139" s="523"/>
      <c r="H139" s="524"/>
      <c r="I139" s="523"/>
      <c r="J139" s="523"/>
      <c r="K139" s="523"/>
      <c r="L139" s="523"/>
      <c r="M139" s="450"/>
      <c r="N139" s="525"/>
    </row>
    <row r="140" spans="1:18" s="5" customFormat="1" ht="26">
      <c r="A140" s="72"/>
      <c r="B140" s="454" t="s">
        <v>252</v>
      </c>
      <c r="C140" s="455"/>
      <c r="D140" s="59"/>
      <c r="E140" s="64"/>
      <c r="F140" s="58"/>
      <c r="G140" s="58"/>
      <c r="H140" s="111"/>
      <c r="I140" s="58"/>
      <c r="J140" s="58"/>
      <c r="K140" s="58"/>
      <c r="L140" s="265"/>
      <c r="M140" s="450"/>
      <c r="N140" s="525"/>
    </row>
    <row r="141" spans="1:18" s="6" customFormat="1" ht="33" customHeight="1">
      <c r="A141" s="73"/>
      <c r="B141" s="71" t="s">
        <v>59</v>
      </c>
      <c r="C141" s="71" t="s">
        <v>65</v>
      </c>
      <c r="D141" s="69"/>
      <c r="E141" s="69"/>
      <c r="F141" s="62"/>
      <c r="G141" s="62"/>
      <c r="H141" s="112"/>
      <c r="I141" s="62"/>
      <c r="J141" s="62"/>
      <c r="K141" s="62"/>
      <c r="L141" s="62"/>
      <c r="M141" s="450"/>
      <c r="N141" s="526"/>
    </row>
    <row r="142" spans="1:18" s="40" customFormat="1" ht="33" customHeight="1">
      <c r="A142" s="74"/>
      <c r="B142" s="70" t="s">
        <v>60</v>
      </c>
      <c r="C142" s="93"/>
      <c r="D142" s="59"/>
      <c r="E142" s="59"/>
      <c r="F142" s="58"/>
      <c r="G142" s="58"/>
      <c r="H142" s="111"/>
      <c r="I142" s="58"/>
      <c r="J142" s="58"/>
      <c r="K142" s="58"/>
      <c r="L142" s="265"/>
      <c r="M142" s="450"/>
    </row>
    <row r="143" spans="1:18" s="40" customFormat="1" ht="33" customHeight="1">
      <c r="A143" s="73"/>
      <c r="B143" s="71" t="s">
        <v>59</v>
      </c>
      <c r="C143" s="71" t="s">
        <v>65</v>
      </c>
      <c r="D143" s="75"/>
      <c r="E143" s="75"/>
      <c r="F143" s="58"/>
      <c r="G143" s="58"/>
      <c r="H143" s="111"/>
      <c r="I143" s="58"/>
      <c r="J143" s="58"/>
      <c r="K143" s="58"/>
      <c r="L143" s="523"/>
      <c r="M143" s="450"/>
    </row>
    <row r="144" spans="1:18" s="40" customFormat="1" ht="33" customHeight="1">
      <c r="A144" s="72"/>
      <c r="B144" s="72" t="s">
        <v>61</v>
      </c>
      <c r="C144" s="94"/>
      <c r="D144" s="59"/>
      <c r="E144" s="59"/>
      <c r="F144" s="58"/>
      <c r="G144" s="58"/>
      <c r="H144" s="111"/>
      <c r="I144" s="58"/>
      <c r="J144" s="58"/>
      <c r="K144" s="58"/>
      <c r="L144" s="265"/>
      <c r="M144" s="450"/>
    </row>
    <row r="145" spans="1:15" s="42" customFormat="1" ht="33" customHeight="1">
      <c r="A145" s="73"/>
      <c r="B145" s="71" t="s">
        <v>59</v>
      </c>
      <c r="C145" s="71" t="s">
        <v>65</v>
      </c>
      <c r="D145" s="75"/>
      <c r="E145" s="75"/>
      <c r="F145" s="58"/>
      <c r="G145" s="58"/>
      <c r="H145" s="111"/>
      <c r="I145" s="58"/>
      <c r="J145" s="58"/>
      <c r="K145" s="58"/>
      <c r="L145" s="523"/>
      <c r="M145" s="450"/>
    </row>
    <row r="146" spans="1:15" s="45" customFormat="1" ht="33" customHeight="1">
      <c r="A146" s="72"/>
      <c r="B146" s="72" t="s">
        <v>62</v>
      </c>
      <c r="C146" s="95"/>
      <c r="D146" s="60"/>
      <c r="E146" s="60"/>
      <c r="F146" s="62"/>
      <c r="G146" s="62"/>
      <c r="H146" s="112"/>
      <c r="I146" s="62"/>
      <c r="J146" s="62"/>
      <c r="K146" s="62"/>
      <c r="L146" s="62"/>
      <c r="M146" s="450"/>
      <c r="N146" s="43"/>
      <c r="O146" s="44"/>
    </row>
    <row r="147" spans="1:15" s="48" customFormat="1" ht="33" customHeight="1">
      <c r="A147" s="73"/>
      <c r="B147" s="71" t="s">
        <v>59</v>
      </c>
      <c r="C147" s="71" t="s">
        <v>65</v>
      </c>
      <c r="D147" s="75"/>
      <c r="E147" s="75"/>
      <c r="F147" s="58"/>
      <c r="G147" s="58"/>
      <c r="H147" s="111"/>
      <c r="I147" s="58"/>
      <c r="J147" s="58"/>
      <c r="K147" s="58"/>
      <c r="L147" s="523"/>
      <c r="M147" s="450"/>
      <c r="N147" s="47"/>
      <c r="O147" s="47"/>
    </row>
    <row r="148" spans="1:15" s="49" customFormat="1" ht="33" customHeight="1">
      <c r="A148" s="72"/>
      <c r="B148" s="72" t="s">
        <v>63</v>
      </c>
      <c r="C148" s="95"/>
      <c r="D148" s="59"/>
      <c r="E148" s="60"/>
      <c r="F148" s="62"/>
      <c r="G148" s="62"/>
      <c r="H148" s="112"/>
      <c r="I148" s="62"/>
      <c r="J148" s="62"/>
      <c r="K148" s="62"/>
      <c r="L148" s="265"/>
      <c r="M148" s="450"/>
      <c r="N148" s="50"/>
      <c r="O148" s="50"/>
    </row>
    <row r="149" spans="1:15" s="48" customFormat="1" ht="33" customHeight="1">
      <c r="A149" s="73"/>
      <c r="B149" s="71" t="s">
        <v>64</v>
      </c>
      <c r="C149" s="71" t="s">
        <v>65</v>
      </c>
      <c r="D149" s="75"/>
      <c r="E149" s="75"/>
      <c r="F149" s="58"/>
      <c r="G149" s="58"/>
      <c r="H149" s="111"/>
      <c r="I149" s="58"/>
      <c r="J149" s="58"/>
      <c r="K149" s="58"/>
      <c r="L149" s="523"/>
      <c r="M149" s="450"/>
    </row>
    <row r="150" spans="1:15" s="5" customFormat="1">
      <c r="A150" s="35"/>
      <c r="B150" s="8"/>
      <c r="C150" s="9"/>
      <c r="D150" s="52"/>
      <c r="E150" s="105"/>
      <c r="F150" s="527"/>
      <c r="G150" s="527"/>
      <c r="H150" s="527"/>
      <c r="I150" s="527"/>
      <c r="J150" s="527"/>
      <c r="K150" s="527"/>
      <c r="L150" s="528"/>
      <c r="M150" s="450"/>
      <c r="N150" s="525"/>
    </row>
    <row r="151" spans="1:15" s="5" customFormat="1">
      <c r="A151" s="35"/>
      <c r="B151" s="8"/>
      <c r="C151" s="9"/>
      <c r="D151" s="52"/>
      <c r="E151" s="105"/>
      <c r="F151" s="527"/>
      <c r="G151" s="527"/>
      <c r="H151" s="527"/>
      <c r="I151" s="527"/>
      <c r="J151" s="527"/>
      <c r="K151" s="527"/>
      <c r="L151" s="528"/>
      <c r="M151" s="450"/>
      <c r="N151" s="525"/>
    </row>
    <row r="152" spans="1:15" s="11" customFormat="1" ht="18" customHeight="1">
      <c r="A152" s="36"/>
      <c r="C152" s="10"/>
      <c r="D152" s="56"/>
      <c r="E152" s="106"/>
      <c r="F152" s="529"/>
      <c r="G152" s="529"/>
      <c r="H152" s="529"/>
      <c r="I152" s="529"/>
      <c r="J152" s="529"/>
      <c r="K152" s="529"/>
      <c r="L152" s="530"/>
      <c r="M152" s="450"/>
      <c r="N152" s="531"/>
    </row>
    <row r="153" spans="1:15" s="5" customFormat="1">
      <c r="A153" s="35"/>
      <c r="B153" s="8"/>
      <c r="C153" s="9"/>
      <c r="D153" s="52"/>
      <c r="E153" s="105"/>
      <c r="F153" s="527"/>
      <c r="G153" s="527"/>
      <c r="H153" s="527"/>
      <c r="I153" s="527"/>
      <c r="J153" s="527"/>
      <c r="K153" s="527"/>
      <c r="L153" s="528"/>
      <c r="M153" s="450"/>
      <c r="N153" s="525"/>
    </row>
    <row r="154" spans="1:15" s="5" customFormat="1">
      <c r="A154" s="35"/>
      <c r="B154" s="8"/>
      <c r="C154" s="9"/>
      <c r="D154" s="52"/>
      <c r="E154" s="105"/>
      <c r="F154" s="527"/>
      <c r="G154" s="527"/>
      <c r="H154" s="527"/>
      <c r="I154" s="527"/>
      <c r="J154" s="527"/>
      <c r="K154" s="527"/>
      <c r="L154" s="528"/>
      <c r="M154" s="450"/>
      <c r="N154" s="525"/>
    </row>
    <row r="155" spans="1:15">
      <c r="A155" s="37"/>
      <c r="B155" s="12"/>
      <c r="C155" s="13"/>
      <c r="D155" s="53"/>
      <c r="E155" s="105"/>
      <c r="F155" s="527"/>
      <c r="G155" s="527"/>
      <c r="H155" s="527"/>
      <c r="I155" s="527"/>
      <c r="J155" s="527"/>
      <c r="K155" s="527"/>
      <c r="L155" s="528"/>
      <c r="N155" s="532"/>
    </row>
    <row r="156" spans="1:15">
      <c r="A156" s="37"/>
      <c r="B156" s="12"/>
      <c r="C156" s="13"/>
      <c r="D156" s="53"/>
      <c r="E156" s="105"/>
      <c r="F156" s="527"/>
      <c r="G156" s="527"/>
      <c r="H156" s="527"/>
      <c r="I156" s="527"/>
      <c r="J156" s="527"/>
      <c r="K156" s="527"/>
      <c r="L156" s="528"/>
      <c r="N156" s="532"/>
    </row>
    <row r="157" spans="1:15">
      <c r="A157" s="37"/>
      <c r="B157" s="12"/>
      <c r="C157" s="13"/>
      <c r="D157" s="53"/>
      <c r="E157" s="105"/>
      <c r="F157" s="527"/>
      <c r="G157" s="527"/>
      <c r="H157" s="527"/>
      <c r="I157" s="527"/>
      <c r="J157" s="527"/>
      <c r="K157" s="527"/>
      <c r="L157" s="528"/>
      <c r="N157" s="532"/>
    </row>
    <row r="158" spans="1:15">
      <c r="A158" s="37"/>
      <c r="B158" s="12"/>
      <c r="C158" s="13"/>
      <c r="D158" s="53"/>
      <c r="E158" s="105"/>
      <c r="F158" s="527"/>
      <c r="G158" s="527"/>
      <c r="H158" s="527"/>
      <c r="I158" s="527"/>
      <c r="J158" s="527"/>
      <c r="K158" s="527"/>
      <c r="L158" s="528"/>
      <c r="N158" s="532"/>
    </row>
    <row r="159" spans="1:15">
      <c r="A159" s="37"/>
      <c r="B159" s="12"/>
      <c r="C159" s="13"/>
      <c r="D159" s="53"/>
      <c r="E159" s="105"/>
      <c r="F159" s="527"/>
      <c r="G159" s="527"/>
      <c r="H159" s="527"/>
      <c r="I159" s="527"/>
      <c r="J159" s="527"/>
      <c r="K159" s="527"/>
      <c r="L159" s="533"/>
      <c r="N159" s="532"/>
    </row>
    <row r="160" spans="1:15">
      <c r="A160" s="37"/>
      <c r="B160" s="12"/>
      <c r="C160" s="13"/>
      <c r="D160" s="53"/>
      <c r="E160" s="105"/>
      <c r="F160" s="527"/>
      <c r="G160" s="527"/>
      <c r="H160" s="527"/>
      <c r="I160" s="527"/>
      <c r="J160" s="527"/>
      <c r="K160" s="527"/>
      <c r="L160" s="528"/>
      <c r="N160" s="532"/>
    </row>
    <row r="161" spans="1:14">
      <c r="A161" s="37"/>
      <c r="B161" s="12"/>
      <c r="C161" s="13"/>
      <c r="D161" s="53"/>
      <c r="E161" s="105"/>
      <c r="F161" s="527"/>
      <c r="G161" s="527"/>
      <c r="H161" s="527"/>
      <c r="I161" s="527"/>
      <c r="J161" s="527"/>
      <c r="K161" s="527"/>
      <c r="L161" s="528"/>
      <c r="N161" s="532"/>
    </row>
    <row r="162" spans="1:14" s="15" customFormat="1">
      <c r="A162" s="37"/>
      <c r="B162" s="12"/>
      <c r="C162" s="13"/>
      <c r="D162" s="53"/>
      <c r="E162" s="105"/>
      <c r="F162" s="527"/>
      <c r="G162" s="527"/>
      <c r="H162" s="527"/>
      <c r="I162" s="527"/>
      <c r="J162" s="527"/>
      <c r="K162" s="527"/>
      <c r="L162" s="528"/>
      <c r="M162" s="450"/>
      <c r="N162" s="532"/>
    </row>
    <row r="163" spans="1:14" s="15" customFormat="1">
      <c r="A163" s="37"/>
      <c r="B163" s="12"/>
      <c r="C163" s="13"/>
      <c r="D163" s="53"/>
      <c r="E163" s="105"/>
      <c r="F163" s="527"/>
      <c r="G163" s="527"/>
      <c r="H163" s="527"/>
      <c r="I163" s="527"/>
      <c r="J163" s="527"/>
      <c r="K163" s="527"/>
      <c r="L163" s="528"/>
      <c r="M163" s="450"/>
      <c r="N163" s="532"/>
    </row>
    <row r="164" spans="1:14" s="15" customFormat="1">
      <c r="A164" s="37"/>
      <c r="B164" s="12"/>
      <c r="C164" s="13"/>
      <c r="D164" s="53"/>
      <c r="E164" s="105"/>
      <c r="F164" s="527"/>
      <c r="G164" s="527"/>
      <c r="H164" s="527"/>
      <c r="I164" s="527"/>
      <c r="J164" s="527"/>
      <c r="K164" s="527"/>
      <c r="L164" s="528"/>
      <c r="M164" s="450"/>
      <c r="N164" s="532"/>
    </row>
    <row r="165" spans="1:14" s="15" customFormat="1">
      <c r="A165" s="37"/>
      <c r="B165" s="12"/>
      <c r="C165" s="13"/>
      <c r="D165" s="53"/>
      <c r="E165" s="105"/>
      <c r="F165" s="527"/>
      <c r="G165" s="527"/>
      <c r="H165" s="527"/>
      <c r="I165" s="527"/>
      <c r="J165" s="527"/>
      <c r="K165" s="527"/>
      <c r="L165" s="528"/>
      <c r="M165" s="450"/>
      <c r="N165" s="532"/>
    </row>
    <row r="166" spans="1:14" s="15" customFormat="1">
      <c r="A166" s="37"/>
      <c r="B166" s="12"/>
      <c r="C166" s="13"/>
      <c r="D166" s="53"/>
      <c r="E166" s="105"/>
      <c r="F166" s="527"/>
      <c r="G166" s="527"/>
      <c r="H166" s="527"/>
      <c r="I166" s="527"/>
      <c r="J166" s="527"/>
      <c r="K166" s="527"/>
      <c r="L166" s="528"/>
      <c r="M166" s="450"/>
      <c r="N166" s="532"/>
    </row>
    <row r="167" spans="1:14" s="15" customFormat="1">
      <c r="A167" s="37"/>
      <c r="B167" s="12"/>
      <c r="C167" s="13"/>
      <c r="D167" s="53"/>
      <c r="E167" s="105"/>
      <c r="F167" s="527"/>
      <c r="G167" s="527"/>
      <c r="H167" s="527"/>
      <c r="I167" s="527"/>
      <c r="J167" s="527"/>
      <c r="K167" s="527"/>
      <c r="L167" s="528"/>
      <c r="M167" s="450"/>
      <c r="N167" s="532"/>
    </row>
    <row r="168" spans="1:14" s="15" customFormat="1">
      <c r="A168" s="37"/>
      <c r="B168" s="12"/>
      <c r="C168" s="13"/>
      <c r="D168" s="53"/>
      <c r="E168" s="105"/>
      <c r="F168" s="527"/>
      <c r="G168" s="527"/>
      <c r="H168" s="527"/>
      <c r="I168" s="527"/>
      <c r="J168" s="527"/>
      <c r="K168" s="527"/>
      <c r="L168" s="528"/>
      <c r="M168" s="450"/>
      <c r="N168" s="532"/>
    </row>
    <row r="169" spans="1:14" s="15" customFormat="1">
      <c r="A169" s="37"/>
      <c r="B169" s="12"/>
      <c r="C169" s="13"/>
      <c r="D169" s="53"/>
      <c r="E169" s="105"/>
      <c r="F169" s="527"/>
      <c r="G169" s="527"/>
      <c r="H169" s="527"/>
      <c r="I169" s="527"/>
      <c r="J169" s="527"/>
      <c r="K169" s="527"/>
      <c r="L169" s="528"/>
      <c r="M169" s="450"/>
      <c r="N169" s="532"/>
    </row>
    <row r="170" spans="1:14" s="15" customFormat="1">
      <c r="A170" s="37"/>
      <c r="B170" s="12"/>
      <c r="C170" s="13"/>
      <c r="D170" s="53"/>
      <c r="E170" s="105"/>
      <c r="F170" s="98"/>
      <c r="G170" s="98"/>
      <c r="H170" s="98"/>
      <c r="I170" s="98"/>
      <c r="J170" s="98"/>
      <c r="K170" s="98"/>
      <c r="L170" s="99"/>
      <c r="M170" s="450"/>
      <c r="N170" s="14"/>
    </row>
    <row r="171" spans="1:14" s="15" customFormat="1">
      <c r="A171" s="37"/>
      <c r="B171" s="12"/>
      <c r="C171" s="13"/>
      <c r="D171" s="53"/>
      <c r="E171" s="105"/>
      <c r="F171" s="98"/>
      <c r="G171" s="98"/>
      <c r="H171" s="98"/>
      <c r="I171" s="98"/>
      <c r="J171" s="98"/>
      <c r="K171" s="98"/>
      <c r="L171" s="99"/>
      <c r="M171" s="450"/>
      <c r="N171" s="14"/>
    </row>
    <row r="172" spans="1:14" s="15" customFormat="1">
      <c r="A172" s="37"/>
      <c r="B172" s="12"/>
      <c r="C172" s="13"/>
      <c r="D172" s="53"/>
      <c r="E172" s="105"/>
      <c r="F172" s="98"/>
      <c r="G172" s="98"/>
      <c r="H172" s="98"/>
      <c r="I172" s="98"/>
      <c r="J172" s="98"/>
      <c r="K172" s="98"/>
      <c r="L172" s="99"/>
      <c r="M172" s="450"/>
      <c r="N172" s="14"/>
    </row>
    <row r="173" spans="1:14" s="15" customFormat="1">
      <c r="A173" s="37"/>
      <c r="B173" s="12"/>
      <c r="C173" s="13"/>
      <c r="D173" s="53"/>
      <c r="E173" s="105"/>
      <c r="F173" s="98"/>
      <c r="G173" s="98"/>
      <c r="H173" s="98"/>
      <c r="I173" s="98"/>
      <c r="J173" s="98"/>
      <c r="K173" s="98"/>
      <c r="L173" s="99"/>
      <c r="M173" s="450"/>
      <c r="N173" s="14"/>
    </row>
    <row r="174" spans="1:14" s="15" customFormat="1">
      <c r="A174" s="37"/>
      <c r="B174" s="12"/>
      <c r="C174" s="13"/>
      <c r="D174" s="53"/>
      <c r="E174" s="105"/>
      <c r="F174" s="98"/>
      <c r="G174" s="98"/>
      <c r="H174" s="98"/>
      <c r="I174" s="98"/>
      <c r="J174" s="98"/>
      <c r="K174" s="98"/>
      <c r="L174" s="99"/>
      <c r="M174" s="450"/>
      <c r="N174" s="14"/>
    </row>
    <row r="175" spans="1:14" s="15" customFormat="1">
      <c r="A175" s="37"/>
      <c r="B175" s="12"/>
      <c r="C175" s="13"/>
      <c r="D175" s="53"/>
      <c r="E175" s="105"/>
      <c r="F175" s="98"/>
      <c r="G175" s="98"/>
      <c r="H175" s="98"/>
      <c r="I175" s="98"/>
      <c r="J175" s="98"/>
      <c r="K175" s="98"/>
      <c r="L175" s="99"/>
      <c r="M175" s="450"/>
      <c r="N175" s="14"/>
    </row>
    <row r="176" spans="1:14" s="15" customFormat="1">
      <c r="A176" s="37"/>
      <c r="B176" s="12"/>
      <c r="C176" s="13"/>
      <c r="D176" s="53"/>
      <c r="E176" s="105"/>
      <c r="F176" s="98"/>
      <c r="G176" s="98"/>
      <c r="H176" s="98"/>
      <c r="I176" s="98"/>
      <c r="J176" s="98"/>
      <c r="K176" s="98"/>
      <c r="L176" s="99"/>
      <c r="M176" s="450"/>
      <c r="N176" s="14"/>
    </row>
    <row r="177" spans="1:14" s="15" customFormat="1">
      <c r="A177" s="37"/>
      <c r="B177" s="12"/>
      <c r="C177" s="13"/>
      <c r="D177" s="53"/>
      <c r="E177" s="105"/>
      <c r="F177" s="98"/>
      <c r="G177" s="98"/>
      <c r="H177" s="98"/>
      <c r="I177" s="98"/>
      <c r="J177" s="98"/>
      <c r="K177" s="98"/>
      <c r="L177" s="99"/>
      <c r="M177" s="450"/>
      <c r="N177" s="14"/>
    </row>
    <row r="178" spans="1:14" s="15" customFormat="1">
      <c r="A178" s="37"/>
      <c r="B178" s="12"/>
      <c r="C178" s="13"/>
      <c r="D178" s="53"/>
      <c r="E178" s="105"/>
      <c r="F178" s="98"/>
      <c r="G178" s="98"/>
      <c r="H178" s="98"/>
      <c r="I178" s="98"/>
      <c r="J178" s="98"/>
      <c r="K178" s="98"/>
      <c r="L178" s="99"/>
      <c r="M178" s="450"/>
      <c r="N178" s="14"/>
    </row>
    <row r="179" spans="1:14" s="15" customFormat="1">
      <c r="A179" s="37"/>
      <c r="B179" s="12"/>
      <c r="C179" s="13"/>
      <c r="D179" s="53"/>
      <c r="E179" s="105"/>
      <c r="F179" s="98"/>
      <c r="G179" s="98"/>
      <c r="H179" s="98"/>
      <c r="I179" s="98"/>
      <c r="J179" s="98"/>
      <c r="K179" s="98"/>
      <c r="L179" s="99"/>
      <c r="M179" s="450"/>
      <c r="N179" s="14"/>
    </row>
    <row r="180" spans="1:14" s="15" customFormat="1">
      <c r="A180" s="37"/>
      <c r="B180" s="12"/>
      <c r="C180" s="13"/>
      <c r="D180" s="53"/>
      <c r="E180" s="105"/>
      <c r="F180" s="98"/>
      <c r="G180" s="98"/>
      <c r="H180" s="98"/>
      <c r="I180" s="98"/>
      <c r="J180" s="98"/>
      <c r="K180" s="98"/>
      <c r="L180" s="99"/>
      <c r="M180" s="450"/>
      <c r="N180" s="14"/>
    </row>
    <row r="181" spans="1:14" s="15" customFormat="1">
      <c r="A181" s="37"/>
      <c r="B181" s="12"/>
      <c r="C181" s="13"/>
      <c r="D181" s="53"/>
      <c r="E181" s="105"/>
      <c r="F181" s="98"/>
      <c r="G181" s="98"/>
      <c r="H181" s="98"/>
      <c r="I181" s="98"/>
      <c r="J181" s="98"/>
      <c r="K181" s="98"/>
      <c r="L181" s="99"/>
      <c r="M181" s="450"/>
      <c r="N181" s="14"/>
    </row>
    <row r="182" spans="1:14" s="15" customFormat="1">
      <c r="A182" s="37"/>
      <c r="B182" s="12"/>
      <c r="C182" s="13"/>
      <c r="D182" s="53"/>
      <c r="E182" s="105"/>
      <c r="F182" s="98"/>
      <c r="G182" s="98"/>
      <c r="H182" s="98"/>
      <c r="I182" s="98"/>
      <c r="J182" s="98"/>
      <c r="K182" s="98"/>
      <c r="L182" s="99"/>
      <c r="M182" s="450"/>
      <c r="N182" s="14"/>
    </row>
    <row r="183" spans="1:14" s="15" customFormat="1">
      <c r="A183" s="37"/>
      <c r="B183" s="12"/>
      <c r="C183" s="13"/>
      <c r="D183" s="53"/>
      <c r="E183" s="105"/>
      <c r="F183" s="98"/>
      <c r="G183" s="98"/>
      <c r="H183" s="98"/>
      <c r="I183" s="98"/>
      <c r="J183" s="98"/>
      <c r="K183" s="98"/>
      <c r="L183" s="99"/>
      <c r="M183" s="450"/>
      <c r="N183" s="14"/>
    </row>
    <row r="184" spans="1:14" s="15" customFormat="1">
      <c r="A184" s="37"/>
      <c r="B184" s="12"/>
      <c r="C184" s="13"/>
      <c r="D184" s="53"/>
      <c r="E184" s="105"/>
      <c r="F184" s="98"/>
      <c r="G184" s="98"/>
      <c r="H184" s="98"/>
      <c r="I184" s="98"/>
      <c r="J184" s="98"/>
      <c r="K184" s="98"/>
      <c r="L184" s="99"/>
      <c r="M184" s="450"/>
      <c r="N184" s="14"/>
    </row>
    <row r="185" spans="1:14" s="15" customFormat="1">
      <c r="A185" s="37"/>
      <c r="B185" s="12"/>
      <c r="C185" s="13"/>
      <c r="D185" s="53"/>
      <c r="E185" s="105"/>
      <c r="F185" s="98"/>
      <c r="G185" s="98"/>
      <c r="H185" s="98"/>
      <c r="I185" s="98"/>
      <c r="J185" s="98"/>
      <c r="K185" s="98"/>
      <c r="L185" s="99"/>
      <c r="M185" s="450"/>
      <c r="N185" s="14"/>
    </row>
    <row r="186" spans="1:14" s="15" customFormat="1">
      <c r="A186" s="37"/>
      <c r="B186" s="12"/>
      <c r="C186" s="13"/>
      <c r="D186" s="53"/>
      <c r="E186" s="105"/>
      <c r="F186" s="98"/>
      <c r="G186" s="98"/>
      <c r="H186" s="98"/>
      <c r="I186" s="98"/>
      <c r="J186" s="98"/>
      <c r="K186" s="98"/>
      <c r="L186" s="99"/>
      <c r="M186" s="450"/>
      <c r="N186" s="14"/>
    </row>
    <row r="187" spans="1:14" s="15" customFormat="1">
      <c r="A187" s="37"/>
      <c r="B187" s="12"/>
      <c r="C187" s="13"/>
      <c r="D187" s="53"/>
      <c r="E187" s="105"/>
      <c r="F187" s="98"/>
      <c r="G187" s="98"/>
      <c r="H187" s="98"/>
      <c r="I187" s="98"/>
      <c r="J187" s="98"/>
      <c r="K187" s="98"/>
      <c r="L187" s="99"/>
      <c r="M187" s="450"/>
      <c r="N187" s="14"/>
    </row>
    <row r="188" spans="1:14" s="15" customFormat="1">
      <c r="A188" s="37"/>
      <c r="B188" s="12"/>
      <c r="C188" s="13"/>
      <c r="D188" s="53"/>
      <c r="E188" s="105"/>
      <c r="F188" s="98"/>
      <c r="G188" s="98"/>
      <c r="H188" s="98"/>
      <c r="I188" s="98"/>
      <c r="J188" s="98"/>
      <c r="K188" s="98"/>
      <c r="L188" s="99"/>
      <c r="M188" s="450"/>
      <c r="N188" s="14"/>
    </row>
    <row r="189" spans="1:14" s="15" customFormat="1">
      <c r="A189" s="37"/>
      <c r="B189" s="12"/>
      <c r="C189" s="13"/>
      <c r="D189" s="53"/>
      <c r="E189" s="105"/>
      <c r="F189" s="98"/>
      <c r="G189" s="98"/>
      <c r="H189" s="98"/>
      <c r="I189" s="98"/>
      <c r="J189" s="98"/>
      <c r="K189" s="98"/>
      <c r="L189" s="99"/>
      <c r="M189" s="450"/>
      <c r="N189" s="14"/>
    </row>
    <row r="190" spans="1:14" s="15" customFormat="1">
      <c r="A190" s="37"/>
      <c r="B190" s="12"/>
      <c r="C190" s="13"/>
      <c r="D190" s="53"/>
      <c r="E190" s="105"/>
      <c r="F190" s="98"/>
      <c r="G190" s="98"/>
      <c r="H190" s="98"/>
      <c r="I190" s="98"/>
      <c r="J190" s="98"/>
      <c r="K190" s="98"/>
      <c r="L190" s="99"/>
      <c r="M190" s="450"/>
      <c r="N190" s="14"/>
    </row>
    <row r="191" spans="1:14" s="15" customFormat="1">
      <c r="A191" s="37"/>
      <c r="B191" s="12"/>
      <c r="C191" s="13"/>
      <c r="D191" s="53"/>
      <c r="E191" s="105"/>
      <c r="F191" s="98"/>
      <c r="G191" s="98"/>
      <c r="H191" s="98"/>
      <c r="I191" s="98"/>
      <c r="J191" s="98"/>
      <c r="K191" s="98"/>
      <c r="L191" s="99"/>
      <c r="M191" s="450"/>
      <c r="N191" s="14"/>
    </row>
    <row r="192" spans="1:14" s="15" customFormat="1">
      <c r="A192" s="37"/>
      <c r="B192" s="12"/>
      <c r="C192" s="13"/>
      <c r="D192" s="53"/>
      <c r="E192" s="105"/>
      <c r="F192" s="98"/>
      <c r="G192" s="98"/>
      <c r="H192" s="98"/>
      <c r="I192" s="98"/>
      <c r="J192" s="98"/>
      <c r="K192" s="98"/>
      <c r="L192" s="99"/>
      <c r="M192" s="450"/>
      <c r="N192" s="14"/>
    </row>
    <row r="193" spans="1:14" s="15" customFormat="1">
      <c r="A193" s="37"/>
      <c r="B193" s="12"/>
      <c r="C193" s="13"/>
      <c r="D193" s="53"/>
      <c r="E193" s="105"/>
      <c r="F193" s="98"/>
      <c r="G193" s="98"/>
      <c r="H193" s="98"/>
      <c r="I193" s="98"/>
      <c r="J193" s="98"/>
      <c r="K193" s="98"/>
      <c r="L193" s="99"/>
      <c r="M193" s="450"/>
      <c r="N193" s="14"/>
    </row>
    <row r="194" spans="1:14" s="15" customFormat="1">
      <c r="A194" s="37"/>
      <c r="B194" s="12"/>
      <c r="C194" s="13"/>
      <c r="D194" s="53"/>
      <c r="E194" s="105"/>
      <c r="F194" s="98"/>
      <c r="G194" s="98"/>
      <c r="H194" s="98"/>
      <c r="I194" s="98"/>
      <c r="J194" s="98"/>
      <c r="K194" s="98"/>
      <c r="L194" s="99"/>
      <c r="M194" s="450"/>
      <c r="N194" s="14"/>
    </row>
    <row r="195" spans="1:14" s="15" customFormat="1">
      <c r="A195" s="37"/>
      <c r="B195" s="12"/>
      <c r="C195" s="13"/>
      <c r="D195" s="53"/>
      <c r="E195" s="105"/>
      <c r="F195" s="98"/>
      <c r="G195" s="98"/>
      <c r="H195" s="98"/>
      <c r="I195" s="98"/>
      <c r="J195" s="98"/>
      <c r="K195" s="98"/>
      <c r="L195" s="99"/>
      <c r="M195" s="450"/>
      <c r="N195" s="14"/>
    </row>
    <row r="196" spans="1:14" s="15" customFormat="1">
      <c r="A196" s="37"/>
      <c r="B196" s="12"/>
      <c r="C196" s="13"/>
      <c r="D196" s="53"/>
      <c r="E196" s="105"/>
      <c r="F196" s="98"/>
      <c r="G196" s="98"/>
      <c r="H196" s="98"/>
      <c r="I196" s="98"/>
      <c r="J196" s="98"/>
      <c r="K196" s="98"/>
      <c r="L196" s="99"/>
      <c r="M196" s="450"/>
      <c r="N196" s="14"/>
    </row>
    <row r="197" spans="1:14" s="15" customFormat="1">
      <c r="A197" s="37"/>
      <c r="B197" s="12"/>
      <c r="C197" s="13"/>
      <c r="D197" s="53"/>
      <c r="E197" s="105"/>
      <c r="F197" s="98"/>
      <c r="G197" s="98"/>
      <c r="H197" s="98"/>
      <c r="I197" s="98"/>
      <c r="J197" s="98"/>
      <c r="K197" s="98"/>
      <c r="L197" s="99"/>
      <c r="M197" s="450"/>
      <c r="N197" s="14"/>
    </row>
    <row r="198" spans="1:14" s="15" customFormat="1">
      <c r="A198" s="37"/>
      <c r="B198" s="12"/>
      <c r="C198" s="13"/>
      <c r="D198" s="53"/>
      <c r="E198" s="105"/>
      <c r="F198" s="98"/>
      <c r="G198" s="98"/>
      <c r="H198" s="98"/>
      <c r="I198" s="98"/>
      <c r="J198" s="98"/>
      <c r="K198" s="98"/>
      <c r="L198" s="99"/>
      <c r="M198" s="450"/>
      <c r="N198" s="14"/>
    </row>
    <row r="199" spans="1:14" s="15" customFormat="1">
      <c r="A199" s="37"/>
      <c r="B199" s="12"/>
      <c r="C199" s="13"/>
      <c r="D199" s="53"/>
      <c r="E199" s="105"/>
      <c r="F199" s="98"/>
      <c r="G199" s="98"/>
      <c r="H199" s="98"/>
      <c r="I199" s="98"/>
      <c r="J199" s="98"/>
      <c r="K199" s="98"/>
      <c r="L199" s="99"/>
      <c r="M199" s="450"/>
      <c r="N199" s="14"/>
    </row>
    <row r="200" spans="1:14" s="15" customFormat="1">
      <c r="A200" s="37"/>
      <c r="B200" s="12"/>
      <c r="C200" s="13"/>
      <c r="D200" s="53"/>
      <c r="E200" s="105"/>
      <c r="F200" s="98"/>
      <c r="G200" s="98"/>
      <c r="H200" s="98"/>
      <c r="I200" s="98"/>
      <c r="J200" s="98"/>
      <c r="K200" s="98"/>
      <c r="L200" s="99"/>
      <c r="M200" s="450"/>
      <c r="N200" s="14"/>
    </row>
    <row r="201" spans="1:14" s="15" customFormat="1">
      <c r="A201" s="37"/>
      <c r="B201" s="12"/>
      <c r="C201" s="13"/>
      <c r="D201" s="53"/>
      <c r="E201" s="105"/>
      <c r="F201" s="98"/>
      <c r="G201" s="98"/>
      <c r="H201" s="98"/>
      <c r="I201" s="98"/>
      <c r="J201" s="98"/>
      <c r="K201" s="98"/>
      <c r="L201" s="99"/>
      <c r="M201" s="450"/>
      <c r="N201" s="14"/>
    </row>
    <row r="202" spans="1:14" s="15" customFormat="1">
      <c r="A202" s="37"/>
      <c r="B202" s="12"/>
      <c r="C202" s="13"/>
      <c r="D202" s="53"/>
      <c r="E202" s="105"/>
      <c r="F202" s="98"/>
      <c r="G202" s="98"/>
      <c r="H202" s="98"/>
      <c r="I202" s="98"/>
      <c r="J202" s="98"/>
      <c r="K202" s="98"/>
      <c r="L202" s="99"/>
      <c r="M202" s="450"/>
      <c r="N202" s="14"/>
    </row>
    <row r="203" spans="1:14" s="15" customFormat="1">
      <c r="A203" s="37"/>
      <c r="B203" s="12"/>
      <c r="C203" s="13"/>
      <c r="D203" s="53"/>
      <c r="E203" s="105"/>
      <c r="F203" s="98"/>
      <c r="G203" s="98"/>
      <c r="H203" s="98"/>
      <c r="I203" s="98"/>
      <c r="J203" s="98"/>
      <c r="K203" s="98"/>
      <c r="L203" s="99"/>
      <c r="M203" s="450"/>
      <c r="N203" s="14"/>
    </row>
    <row r="204" spans="1:14" s="15" customFormat="1">
      <c r="A204" s="37"/>
      <c r="B204" s="12"/>
      <c r="C204" s="13"/>
      <c r="D204" s="53"/>
      <c r="E204" s="105"/>
      <c r="F204" s="98"/>
      <c r="G204" s="98"/>
      <c r="H204" s="98"/>
      <c r="I204" s="98"/>
      <c r="J204" s="98"/>
      <c r="K204" s="98"/>
      <c r="L204" s="99"/>
      <c r="M204" s="450"/>
      <c r="N204" s="14"/>
    </row>
    <row r="205" spans="1:14" s="15" customFormat="1">
      <c r="A205" s="37"/>
      <c r="B205" s="12"/>
      <c r="C205" s="13"/>
      <c r="D205" s="53"/>
      <c r="E205" s="105"/>
      <c r="F205" s="98"/>
      <c r="G205" s="98"/>
      <c r="H205" s="98"/>
      <c r="I205" s="98"/>
      <c r="J205" s="98"/>
      <c r="K205" s="98"/>
      <c r="L205" s="99"/>
      <c r="M205" s="450"/>
      <c r="N205" s="14"/>
    </row>
    <row r="206" spans="1:14" s="15" customFormat="1">
      <c r="A206" s="37"/>
      <c r="B206" s="12"/>
      <c r="C206" s="13"/>
      <c r="D206" s="53"/>
      <c r="E206" s="105"/>
      <c r="F206" s="98"/>
      <c r="G206" s="98"/>
      <c r="H206" s="98"/>
      <c r="I206" s="98"/>
      <c r="J206" s="98"/>
      <c r="K206" s="98"/>
      <c r="L206" s="99"/>
      <c r="M206" s="450"/>
      <c r="N206" s="14"/>
    </row>
    <row r="207" spans="1:14" s="15" customFormat="1">
      <c r="A207" s="37"/>
      <c r="B207" s="12"/>
      <c r="C207" s="13"/>
      <c r="D207" s="53"/>
      <c r="E207" s="105"/>
      <c r="F207" s="98"/>
      <c r="G207" s="98"/>
      <c r="H207" s="98"/>
      <c r="I207" s="98"/>
      <c r="J207" s="98"/>
      <c r="K207" s="98"/>
      <c r="L207" s="99"/>
      <c r="M207" s="450"/>
      <c r="N207" s="14"/>
    </row>
    <row r="208" spans="1:14" s="15" customFormat="1">
      <c r="A208" s="37"/>
      <c r="B208" s="12"/>
      <c r="C208" s="13"/>
      <c r="D208" s="53"/>
      <c r="E208" s="105"/>
      <c r="F208" s="98"/>
      <c r="G208" s="98"/>
      <c r="H208" s="98"/>
      <c r="I208" s="98"/>
      <c r="J208" s="98"/>
      <c r="K208" s="98"/>
      <c r="L208" s="99"/>
      <c r="M208" s="450"/>
      <c r="N208" s="14"/>
    </row>
    <row r="209" spans="1:14" s="15" customFormat="1">
      <c r="A209" s="37"/>
      <c r="B209" s="12"/>
      <c r="C209" s="13"/>
      <c r="D209" s="53"/>
      <c r="E209" s="105"/>
      <c r="F209" s="98"/>
      <c r="G209" s="98"/>
      <c r="H209" s="98"/>
      <c r="I209" s="98"/>
      <c r="J209" s="98"/>
      <c r="K209" s="98"/>
      <c r="L209" s="99"/>
      <c r="M209" s="450"/>
      <c r="N209" s="14"/>
    </row>
    <row r="210" spans="1:14" s="15" customFormat="1">
      <c r="A210" s="37"/>
      <c r="B210" s="12"/>
      <c r="C210" s="13"/>
      <c r="D210" s="53"/>
      <c r="E210" s="105"/>
      <c r="F210" s="98"/>
      <c r="G210" s="98"/>
      <c r="H210" s="98"/>
      <c r="I210" s="98"/>
      <c r="J210" s="98"/>
      <c r="K210" s="98"/>
      <c r="L210" s="99"/>
      <c r="M210" s="450"/>
      <c r="N210" s="14"/>
    </row>
    <row r="211" spans="1:14" s="15" customFormat="1">
      <c r="A211" s="37"/>
      <c r="B211" s="12"/>
      <c r="C211" s="13"/>
      <c r="D211" s="53"/>
      <c r="E211" s="105"/>
      <c r="F211" s="98"/>
      <c r="G211" s="98"/>
      <c r="H211" s="98"/>
      <c r="I211" s="98"/>
      <c r="J211" s="98"/>
      <c r="K211" s="98"/>
      <c r="L211" s="99"/>
      <c r="M211" s="450"/>
      <c r="N211" s="14"/>
    </row>
    <row r="212" spans="1:14" s="15" customFormat="1">
      <c r="A212" s="37"/>
      <c r="B212" s="12"/>
      <c r="C212" s="13"/>
      <c r="D212" s="53"/>
      <c r="E212" s="105"/>
      <c r="F212" s="98"/>
      <c r="G212" s="98"/>
      <c r="H212" s="98"/>
      <c r="I212" s="98"/>
      <c r="J212" s="98"/>
      <c r="K212" s="98"/>
      <c r="L212" s="99"/>
      <c r="M212" s="450"/>
      <c r="N212" s="14"/>
    </row>
    <row r="213" spans="1:14" s="15" customFormat="1">
      <c r="A213" s="37"/>
      <c r="B213" s="12"/>
      <c r="C213" s="13"/>
      <c r="D213" s="53"/>
      <c r="E213" s="105"/>
      <c r="F213" s="98"/>
      <c r="G213" s="98"/>
      <c r="H213" s="98"/>
      <c r="I213" s="98"/>
      <c r="J213" s="98"/>
      <c r="K213" s="98"/>
      <c r="L213" s="99"/>
      <c r="M213" s="450"/>
      <c r="N213" s="14"/>
    </row>
    <row r="214" spans="1:14" s="15" customFormat="1">
      <c r="A214" s="37"/>
      <c r="B214" s="12"/>
      <c r="C214" s="13"/>
      <c r="D214" s="53"/>
      <c r="E214" s="105"/>
      <c r="F214" s="98"/>
      <c r="G214" s="98"/>
      <c r="H214" s="98"/>
      <c r="I214" s="98"/>
      <c r="J214" s="98"/>
      <c r="K214" s="98"/>
      <c r="L214" s="99"/>
      <c r="M214" s="450"/>
      <c r="N214" s="14"/>
    </row>
    <row r="215" spans="1:14" s="15" customFormat="1">
      <c r="A215" s="37"/>
      <c r="B215" s="12"/>
      <c r="C215" s="13"/>
      <c r="D215" s="53"/>
      <c r="E215" s="105"/>
      <c r="F215" s="98"/>
      <c r="G215" s="98"/>
      <c r="H215" s="98"/>
      <c r="I215" s="98"/>
      <c r="J215" s="98"/>
      <c r="K215" s="98"/>
      <c r="L215" s="99"/>
      <c r="M215" s="450"/>
      <c r="N215" s="14"/>
    </row>
    <row r="216" spans="1:14" s="15" customFormat="1">
      <c r="A216" s="37"/>
      <c r="B216" s="12"/>
      <c r="C216" s="13"/>
      <c r="D216" s="53"/>
      <c r="E216" s="105"/>
      <c r="F216" s="98"/>
      <c r="G216" s="98"/>
      <c r="H216" s="98"/>
      <c r="I216" s="98"/>
      <c r="J216" s="98"/>
      <c r="K216" s="98"/>
      <c r="L216" s="99"/>
      <c r="M216" s="450"/>
      <c r="N216" s="14"/>
    </row>
    <row r="217" spans="1:14" s="15" customFormat="1">
      <c r="A217" s="37"/>
      <c r="B217" s="12"/>
      <c r="C217" s="13"/>
      <c r="D217" s="53"/>
      <c r="E217" s="105"/>
      <c r="F217" s="98"/>
      <c r="G217" s="98"/>
      <c r="H217" s="98"/>
      <c r="I217" s="98"/>
      <c r="J217" s="98"/>
      <c r="K217" s="98"/>
      <c r="L217" s="99"/>
      <c r="M217" s="450"/>
      <c r="N217" s="14"/>
    </row>
    <row r="218" spans="1:14" s="15" customFormat="1">
      <c r="A218" s="37"/>
      <c r="B218" s="12"/>
      <c r="C218" s="13"/>
      <c r="D218" s="53"/>
      <c r="E218" s="105"/>
      <c r="F218" s="98"/>
      <c r="G218" s="98"/>
      <c r="H218" s="98"/>
      <c r="I218" s="98"/>
      <c r="J218" s="98"/>
      <c r="K218" s="98"/>
      <c r="L218" s="99"/>
      <c r="M218" s="450"/>
      <c r="N218" s="14"/>
    </row>
    <row r="219" spans="1:14" s="15" customFormat="1">
      <c r="A219" s="37"/>
      <c r="B219" s="12"/>
      <c r="C219" s="13"/>
      <c r="D219" s="53"/>
      <c r="E219" s="105"/>
      <c r="F219" s="98"/>
      <c r="G219" s="98"/>
      <c r="H219" s="98"/>
      <c r="I219" s="98"/>
      <c r="J219" s="98"/>
      <c r="K219" s="98"/>
      <c r="L219" s="99"/>
      <c r="M219" s="450"/>
      <c r="N219" s="14"/>
    </row>
    <row r="220" spans="1:14" s="15" customFormat="1">
      <c r="A220" s="37"/>
      <c r="B220" s="12"/>
      <c r="C220" s="13"/>
      <c r="D220" s="53"/>
      <c r="E220" s="105"/>
      <c r="F220" s="98"/>
      <c r="G220" s="98"/>
      <c r="H220" s="98"/>
      <c r="I220" s="98"/>
      <c r="J220" s="98"/>
      <c r="K220" s="98"/>
      <c r="L220" s="99"/>
      <c r="M220" s="450"/>
      <c r="N220" s="14"/>
    </row>
    <row r="221" spans="1:14" s="15" customFormat="1">
      <c r="A221" s="37"/>
      <c r="B221" s="12"/>
      <c r="C221" s="13"/>
      <c r="D221" s="53"/>
      <c r="E221" s="105"/>
      <c r="F221" s="98"/>
      <c r="G221" s="98"/>
      <c r="H221" s="98"/>
      <c r="I221" s="98"/>
      <c r="J221" s="98"/>
      <c r="K221" s="98"/>
      <c r="L221" s="99"/>
      <c r="M221" s="450"/>
      <c r="N221" s="14"/>
    </row>
    <row r="222" spans="1:14" s="15" customFormat="1">
      <c r="A222" s="37"/>
      <c r="B222" s="12"/>
      <c r="C222" s="13"/>
      <c r="D222" s="53"/>
      <c r="E222" s="105"/>
      <c r="F222" s="98"/>
      <c r="G222" s="98"/>
      <c r="H222" s="98"/>
      <c r="I222" s="98"/>
      <c r="J222" s="98"/>
      <c r="K222" s="98"/>
      <c r="L222" s="99"/>
      <c r="M222" s="450"/>
      <c r="N222" s="14"/>
    </row>
    <row r="223" spans="1:14" s="15" customFormat="1">
      <c r="A223" s="37"/>
      <c r="B223" s="12"/>
      <c r="C223" s="13"/>
      <c r="D223" s="53"/>
      <c r="E223" s="105"/>
      <c r="F223" s="98"/>
      <c r="G223" s="98"/>
      <c r="H223" s="98"/>
      <c r="I223" s="98"/>
      <c r="J223" s="98"/>
      <c r="K223" s="98"/>
      <c r="L223" s="99"/>
      <c r="M223" s="450"/>
      <c r="N223" s="14"/>
    </row>
    <row r="224" spans="1:14" s="15" customFormat="1">
      <c r="A224" s="37"/>
      <c r="B224" s="12"/>
      <c r="C224" s="13"/>
      <c r="D224" s="53"/>
      <c r="E224" s="105"/>
      <c r="F224" s="98"/>
      <c r="G224" s="98"/>
      <c r="H224" s="98"/>
      <c r="I224" s="98"/>
      <c r="J224" s="98"/>
      <c r="K224" s="98"/>
      <c r="L224" s="99"/>
      <c r="M224" s="450"/>
      <c r="N224" s="14"/>
    </row>
    <row r="225" spans="1:14" s="15" customFormat="1">
      <c r="A225" s="37"/>
      <c r="B225" s="12"/>
      <c r="C225" s="13"/>
      <c r="D225" s="53"/>
      <c r="E225" s="105"/>
      <c r="F225" s="98"/>
      <c r="G225" s="98"/>
      <c r="H225" s="98"/>
      <c r="I225" s="98"/>
      <c r="J225" s="98"/>
      <c r="K225" s="98"/>
      <c r="L225" s="99"/>
      <c r="M225" s="450"/>
      <c r="N225" s="14"/>
    </row>
    <row r="226" spans="1:14" s="15" customFormat="1">
      <c r="A226" s="37"/>
      <c r="B226" s="12"/>
      <c r="C226" s="13"/>
      <c r="D226" s="53"/>
      <c r="E226" s="105"/>
      <c r="F226" s="98"/>
      <c r="G226" s="98"/>
      <c r="H226" s="98"/>
      <c r="I226" s="98"/>
      <c r="J226" s="98"/>
      <c r="K226" s="98"/>
      <c r="L226" s="99"/>
      <c r="M226" s="450"/>
      <c r="N226" s="14"/>
    </row>
    <row r="227" spans="1:14" s="15" customFormat="1">
      <c r="A227" s="37"/>
      <c r="B227" s="12"/>
      <c r="C227" s="13"/>
      <c r="D227" s="53"/>
      <c r="E227" s="105"/>
      <c r="F227" s="98"/>
      <c r="G227" s="98"/>
      <c r="H227" s="98"/>
      <c r="I227" s="98"/>
      <c r="J227" s="98"/>
      <c r="K227" s="98"/>
      <c r="L227" s="99"/>
      <c r="M227" s="450"/>
      <c r="N227" s="14"/>
    </row>
    <row r="228" spans="1:14" s="15" customFormat="1">
      <c r="A228" s="37"/>
      <c r="B228" s="12"/>
      <c r="C228" s="13"/>
      <c r="D228" s="53"/>
      <c r="E228" s="105"/>
      <c r="F228" s="98"/>
      <c r="G228" s="98"/>
      <c r="H228" s="98"/>
      <c r="I228" s="98"/>
      <c r="J228" s="98"/>
      <c r="K228" s="98"/>
      <c r="L228" s="99"/>
      <c r="M228" s="450"/>
      <c r="N228" s="14"/>
    </row>
    <row r="229" spans="1:14" s="15" customFormat="1">
      <c r="A229" s="37"/>
      <c r="B229" s="12"/>
      <c r="C229" s="13"/>
      <c r="D229" s="53"/>
      <c r="E229" s="105"/>
      <c r="F229" s="98"/>
      <c r="G229" s="98"/>
      <c r="H229" s="98"/>
      <c r="I229" s="98"/>
      <c r="J229" s="98"/>
      <c r="K229" s="98"/>
      <c r="L229" s="99"/>
      <c r="M229" s="450"/>
      <c r="N229" s="14"/>
    </row>
    <row r="230" spans="1:14" s="15" customFormat="1">
      <c r="A230" s="37"/>
      <c r="B230" s="12"/>
      <c r="C230" s="13"/>
      <c r="D230" s="53"/>
      <c r="E230" s="105"/>
      <c r="F230" s="98"/>
      <c r="G230" s="98"/>
      <c r="H230" s="98"/>
      <c r="I230" s="98"/>
      <c r="J230" s="98"/>
      <c r="K230" s="98"/>
      <c r="L230" s="99"/>
      <c r="M230" s="450"/>
      <c r="N230" s="14"/>
    </row>
    <row r="231" spans="1:14" s="15" customFormat="1">
      <c r="A231" s="37"/>
      <c r="B231" s="12"/>
      <c r="C231" s="13"/>
      <c r="D231" s="53"/>
      <c r="E231" s="105"/>
      <c r="F231" s="98"/>
      <c r="G231" s="98"/>
      <c r="H231" s="98"/>
      <c r="I231" s="98"/>
      <c r="J231" s="98"/>
      <c r="K231" s="98"/>
      <c r="L231" s="99"/>
      <c r="M231" s="450"/>
      <c r="N231" s="14"/>
    </row>
    <row r="232" spans="1:14" s="15" customFormat="1">
      <c r="A232" s="37"/>
      <c r="B232" s="12"/>
      <c r="C232" s="13"/>
      <c r="D232" s="53"/>
      <c r="E232" s="105"/>
      <c r="F232" s="98"/>
      <c r="G232" s="98"/>
      <c r="H232" s="98"/>
      <c r="I232" s="98"/>
      <c r="J232" s="98"/>
      <c r="K232" s="98"/>
      <c r="L232" s="99"/>
      <c r="M232" s="450"/>
      <c r="N232" s="14"/>
    </row>
    <row r="233" spans="1:14" s="15" customFormat="1">
      <c r="A233" s="37"/>
      <c r="B233" s="12"/>
      <c r="C233" s="13"/>
      <c r="D233" s="53"/>
      <c r="E233" s="105"/>
      <c r="F233" s="98"/>
      <c r="G233" s="98"/>
      <c r="H233" s="98"/>
      <c r="I233" s="98"/>
      <c r="J233" s="98"/>
      <c r="K233" s="98"/>
      <c r="L233" s="99"/>
      <c r="M233" s="450"/>
      <c r="N233" s="14"/>
    </row>
    <row r="234" spans="1:14" s="15" customFormat="1">
      <c r="A234" s="37"/>
      <c r="B234" s="12"/>
      <c r="C234" s="13"/>
      <c r="D234" s="53"/>
      <c r="E234" s="105"/>
      <c r="F234" s="98"/>
      <c r="G234" s="98"/>
      <c r="H234" s="98"/>
      <c r="I234" s="98"/>
      <c r="J234" s="98"/>
      <c r="K234" s="98"/>
      <c r="L234" s="99"/>
      <c r="M234" s="450"/>
      <c r="N234" s="14"/>
    </row>
    <row r="235" spans="1:14" s="15" customFormat="1">
      <c r="A235" s="37"/>
      <c r="B235" s="12"/>
      <c r="C235" s="13"/>
      <c r="D235" s="53"/>
      <c r="E235" s="105"/>
      <c r="F235" s="98"/>
      <c r="G235" s="98"/>
      <c r="H235" s="98"/>
      <c r="I235" s="98"/>
      <c r="J235" s="98"/>
      <c r="K235" s="98"/>
      <c r="L235" s="99"/>
      <c r="M235" s="450"/>
      <c r="N235" s="14"/>
    </row>
    <row r="236" spans="1:14" s="15" customFormat="1">
      <c r="A236" s="37"/>
      <c r="B236" s="12"/>
      <c r="C236" s="13"/>
      <c r="D236" s="53"/>
      <c r="E236" s="105"/>
      <c r="F236" s="98"/>
      <c r="G236" s="98"/>
      <c r="H236" s="98"/>
      <c r="I236" s="98"/>
      <c r="J236" s="98"/>
      <c r="K236" s="98"/>
      <c r="L236" s="99"/>
      <c r="M236" s="450"/>
      <c r="N236" s="14"/>
    </row>
    <row r="237" spans="1:14" s="15" customFormat="1">
      <c r="A237" s="37"/>
      <c r="B237" s="12"/>
      <c r="C237" s="13"/>
      <c r="D237" s="53"/>
      <c r="E237" s="105"/>
      <c r="F237" s="98"/>
      <c r="G237" s="98"/>
      <c r="H237" s="98"/>
      <c r="I237" s="98"/>
      <c r="J237" s="98"/>
      <c r="K237" s="98"/>
      <c r="L237" s="99"/>
      <c r="M237" s="450"/>
      <c r="N237" s="14"/>
    </row>
    <row r="238" spans="1:14" s="15" customFormat="1">
      <c r="A238" s="37"/>
      <c r="B238" s="12"/>
      <c r="C238" s="13"/>
      <c r="D238" s="53"/>
      <c r="E238" s="105"/>
      <c r="F238" s="98"/>
      <c r="G238" s="98"/>
      <c r="H238" s="98"/>
      <c r="I238" s="98"/>
      <c r="J238" s="98"/>
      <c r="K238" s="98"/>
      <c r="L238" s="99"/>
      <c r="M238" s="450"/>
      <c r="N238" s="14"/>
    </row>
    <row r="239" spans="1:14" s="15" customFormat="1">
      <c r="A239" s="37"/>
      <c r="B239" s="12"/>
      <c r="C239" s="13"/>
      <c r="D239" s="53"/>
      <c r="E239" s="105"/>
      <c r="F239" s="98"/>
      <c r="G239" s="98"/>
      <c r="H239" s="98"/>
      <c r="I239" s="98"/>
      <c r="J239" s="98"/>
      <c r="K239" s="98"/>
      <c r="L239" s="99"/>
      <c r="M239" s="450"/>
      <c r="N239" s="14"/>
    </row>
    <row r="240" spans="1:14" s="15" customFormat="1">
      <c r="A240" s="37"/>
      <c r="B240" s="12"/>
      <c r="C240" s="13"/>
      <c r="D240" s="53"/>
      <c r="E240" s="105"/>
      <c r="F240" s="98"/>
      <c r="G240" s="98"/>
      <c r="H240" s="98"/>
      <c r="I240" s="98"/>
      <c r="J240" s="98"/>
      <c r="K240" s="98"/>
      <c r="L240" s="99"/>
      <c r="M240" s="450"/>
      <c r="N240" s="14"/>
    </row>
    <row r="241" spans="1:14" s="15" customFormat="1">
      <c r="A241" s="37"/>
      <c r="B241" s="12"/>
      <c r="C241" s="13"/>
      <c r="D241" s="53"/>
      <c r="E241" s="105"/>
      <c r="F241" s="98"/>
      <c r="G241" s="98"/>
      <c r="H241" s="98"/>
      <c r="I241" s="98"/>
      <c r="J241" s="98"/>
      <c r="K241" s="98"/>
      <c r="L241" s="99"/>
      <c r="M241" s="450"/>
      <c r="N241" s="14"/>
    </row>
    <row r="242" spans="1:14" s="15" customFormat="1">
      <c r="A242" s="37"/>
      <c r="B242" s="12"/>
      <c r="C242" s="13"/>
      <c r="D242" s="53"/>
      <c r="E242" s="105"/>
      <c r="F242" s="98"/>
      <c r="G242" s="98"/>
      <c r="H242" s="98"/>
      <c r="I242" s="98"/>
      <c r="J242" s="98"/>
      <c r="K242" s="98"/>
      <c r="L242" s="99"/>
      <c r="M242" s="450"/>
      <c r="N242" s="14"/>
    </row>
    <row r="243" spans="1:14" s="15" customFormat="1">
      <c r="A243" s="37"/>
      <c r="B243" s="12"/>
      <c r="C243" s="13"/>
      <c r="D243" s="53"/>
      <c r="E243" s="105"/>
      <c r="F243" s="98"/>
      <c r="G243" s="98"/>
      <c r="H243" s="98"/>
      <c r="I243" s="98"/>
      <c r="J243" s="98"/>
      <c r="K243" s="98"/>
      <c r="L243" s="99"/>
      <c r="M243" s="450"/>
      <c r="N243" s="14"/>
    </row>
    <row r="244" spans="1:14" s="15" customFormat="1">
      <c r="A244" s="37"/>
      <c r="B244" s="12"/>
      <c r="C244" s="13"/>
      <c r="D244" s="53"/>
      <c r="E244" s="105"/>
      <c r="F244" s="98"/>
      <c r="G244" s="98"/>
      <c r="H244" s="98"/>
      <c r="I244" s="98"/>
      <c r="J244" s="98"/>
      <c r="K244" s="98"/>
      <c r="L244" s="99"/>
      <c r="M244" s="450"/>
      <c r="N244" s="14"/>
    </row>
    <row r="245" spans="1:14" s="15" customFormat="1">
      <c r="A245" s="37"/>
      <c r="B245" s="12"/>
      <c r="C245" s="13"/>
      <c r="D245" s="53"/>
      <c r="E245" s="105"/>
      <c r="F245" s="98"/>
      <c r="G245" s="98"/>
      <c r="H245" s="98"/>
      <c r="I245" s="98"/>
      <c r="J245" s="98"/>
      <c r="K245" s="98"/>
      <c r="L245" s="99"/>
      <c r="M245" s="450"/>
      <c r="N245" s="14"/>
    </row>
    <row r="246" spans="1:14" s="15" customFormat="1">
      <c r="A246" s="37"/>
      <c r="B246" s="12"/>
      <c r="C246" s="13"/>
      <c r="D246" s="53"/>
      <c r="E246" s="105"/>
      <c r="F246" s="98"/>
      <c r="G246" s="98"/>
      <c r="H246" s="98"/>
      <c r="I246" s="98"/>
      <c r="J246" s="98"/>
      <c r="K246" s="98"/>
      <c r="L246" s="99"/>
      <c r="M246" s="450"/>
      <c r="N246" s="14"/>
    </row>
    <row r="247" spans="1:14" s="15" customFormat="1">
      <c r="A247" s="37"/>
      <c r="B247" s="12"/>
      <c r="C247" s="13"/>
      <c r="D247" s="53"/>
      <c r="E247" s="105"/>
      <c r="F247" s="98"/>
      <c r="G247" s="98"/>
      <c r="H247" s="98"/>
      <c r="I247" s="98"/>
      <c r="J247" s="98"/>
      <c r="K247" s="98"/>
      <c r="L247" s="99"/>
      <c r="M247" s="450"/>
      <c r="N247" s="14"/>
    </row>
    <row r="248" spans="1:14" s="15" customFormat="1">
      <c r="A248" s="37"/>
      <c r="B248" s="12"/>
      <c r="C248" s="13"/>
      <c r="D248" s="53"/>
      <c r="E248" s="105"/>
      <c r="F248" s="98"/>
      <c r="G248" s="98"/>
      <c r="H248" s="98"/>
      <c r="I248" s="98"/>
      <c r="J248" s="98"/>
      <c r="K248" s="98"/>
      <c r="L248" s="99"/>
      <c r="M248" s="450"/>
      <c r="N248" s="14"/>
    </row>
    <row r="249" spans="1:14" s="15" customFormat="1">
      <c r="A249" s="37"/>
      <c r="B249" s="12"/>
      <c r="C249" s="13"/>
      <c r="D249" s="53"/>
      <c r="E249" s="105"/>
      <c r="F249" s="98"/>
      <c r="G249" s="98"/>
      <c r="H249" s="98"/>
      <c r="I249" s="98"/>
      <c r="J249" s="98"/>
      <c r="K249" s="98"/>
      <c r="L249" s="99"/>
      <c r="M249" s="450"/>
      <c r="N249" s="14"/>
    </row>
    <row r="250" spans="1:14" s="15" customFormat="1">
      <c r="A250" s="37"/>
      <c r="B250" s="12"/>
      <c r="C250" s="13"/>
      <c r="D250" s="53"/>
      <c r="E250" s="105"/>
      <c r="F250" s="98"/>
      <c r="G250" s="98"/>
      <c r="H250" s="98"/>
      <c r="I250" s="98"/>
      <c r="J250" s="98"/>
      <c r="K250" s="98"/>
      <c r="L250" s="99"/>
      <c r="M250" s="450"/>
      <c r="N250" s="14"/>
    </row>
    <row r="251" spans="1:14" s="15" customFormat="1">
      <c r="A251" s="37"/>
      <c r="B251" s="12"/>
      <c r="C251" s="13"/>
      <c r="D251" s="53"/>
      <c r="E251" s="105"/>
      <c r="F251" s="98"/>
      <c r="G251" s="98"/>
      <c r="H251" s="98"/>
      <c r="I251" s="98"/>
      <c r="J251" s="98"/>
      <c r="K251" s="98"/>
      <c r="L251" s="99"/>
      <c r="M251" s="450"/>
      <c r="N251" s="14"/>
    </row>
    <row r="252" spans="1:14" s="15" customFormat="1">
      <c r="A252" s="37"/>
      <c r="B252" s="12"/>
      <c r="C252" s="13"/>
      <c r="D252" s="53"/>
      <c r="E252" s="105"/>
      <c r="F252" s="98"/>
      <c r="G252" s="98"/>
      <c r="H252" s="98"/>
      <c r="I252" s="98"/>
      <c r="J252" s="98"/>
      <c r="K252" s="98"/>
      <c r="L252" s="99"/>
      <c r="M252" s="450"/>
      <c r="N252" s="14"/>
    </row>
    <row r="253" spans="1:14" s="15" customFormat="1">
      <c r="A253" s="37"/>
      <c r="B253" s="12"/>
      <c r="C253" s="13"/>
      <c r="D253" s="53"/>
      <c r="E253" s="105"/>
      <c r="F253" s="98"/>
      <c r="G253" s="98"/>
      <c r="H253" s="98"/>
      <c r="I253" s="98"/>
      <c r="J253" s="98"/>
      <c r="K253" s="98"/>
      <c r="L253" s="99"/>
      <c r="M253" s="450"/>
      <c r="N253" s="14"/>
    </row>
    <row r="254" spans="1:14" s="15" customFormat="1">
      <c r="A254" s="37"/>
      <c r="B254" s="12"/>
      <c r="C254" s="13"/>
      <c r="D254" s="53"/>
      <c r="E254" s="105"/>
      <c r="F254" s="98"/>
      <c r="G254" s="98"/>
      <c r="H254" s="98"/>
      <c r="I254" s="98"/>
      <c r="J254" s="98"/>
      <c r="K254" s="98"/>
      <c r="L254" s="99"/>
      <c r="M254" s="450"/>
      <c r="N254" s="14"/>
    </row>
    <row r="255" spans="1:14" s="15" customFormat="1">
      <c r="A255" s="37"/>
      <c r="B255" s="12"/>
      <c r="C255" s="13"/>
      <c r="D255" s="53"/>
      <c r="E255" s="105"/>
      <c r="F255" s="98"/>
      <c r="G255" s="98"/>
      <c r="H255" s="98"/>
      <c r="I255" s="98"/>
      <c r="J255" s="98"/>
      <c r="K255" s="98"/>
      <c r="L255" s="99"/>
      <c r="M255" s="450"/>
      <c r="N255" s="14"/>
    </row>
    <row r="256" spans="1:14" s="15" customFormat="1">
      <c r="A256" s="37"/>
      <c r="B256" s="12"/>
      <c r="C256" s="13"/>
      <c r="D256" s="53"/>
      <c r="E256" s="105"/>
      <c r="F256" s="98"/>
      <c r="G256" s="98"/>
      <c r="H256" s="98"/>
      <c r="I256" s="98"/>
      <c r="J256" s="98"/>
      <c r="K256" s="98"/>
      <c r="L256" s="99"/>
      <c r="M256" s="450"/>
      <c r="N256" s="14"/>
    </row>
    <row r="257" spans="1:14" s="15" customFormat="1">
      <c r="A257" s="37"/>
      <c r="B257" s="12"/>
      <c r="C257" s="13"/>
      <c r="D257" s="53"/>
      <c r="E257" s="105"/>
      <c r="F257" s="98"/>
      <c r="G257" s="98"/>
      <c r="H257" s="98"/>
      <c r="I257" s="98"/>
      <c r="J257" s="98"/>
      <c r="K257" s="98"/>
      <c r="L257" s="99"/>
      <c r="M257" s="450"/>
      <c r="N257" s="14"/>
    </row>
    <row r="258" spans="1:14" s="15" customFormat="1">
      <c r="A258" s="37"/>
      <c r="B258" s="12"/>
      <c r="C258" s="13"/>
      <c r="D258" s="53"/>
      <c r="E258" s="105"/>
      <c r="F258" s="98"/>
      <c r="G258" s="98"/>
      <c r="H258" s="98"/>
      <c r="I258" s="98"/>
      <c r="J258" s="98"/>
      <c r="K258" s="98"/>
      <c r="L258" s="99"/>
      <c r="M258" s="450"/>
      <c r="N258" s="14"/>
    </row>
    <row r="259" spans="1:14" s="15" customFormat="1">
      <c r="A259" s="37"/>
      <c r="B259" s="12"/>
      <c r="C259" s="13"/>
      <c r="D259" s="53"/>
      <c r="E259" s="105"/>
      <c r="F259" s="98"/>
      <c r="G259" s="98"/>
      <c r="H259" s="98"/>
      <c r="I259" s="98"/>
      <c r="J259" s="98"/>
      <c r="K259" s="98"/>
      <c r="L259" s="99"/>
      <c r="M259" s="450"/>
      <c r="N259" s="14"/>
    </row>
    <row r="260" spans="1:14" s="15" customFormat="1">
      <c r="A260" s="37"/>
      <c r="B260" s="12"/>
      <c r="C260" s="13"/>
      <c r="D260" s="53"/>
      <c r="E260" s="105"/>
      <c r="F260" s="98"/>
      <c r="G260" s="98"/>
      <c r="H260" s="98"/>
      <c r="I260" s="98"/>
      <c r="J260" s="98"/>
      <c r="K260" s="98"/>
      <c r="L260" s="99"/>
      <c r="M260" s="450"/>
      <c r="N260" s="14"/>
    </row>
    <row r="261" spans="1:14" s="15" customFormat="1">
      <c r="A261" s="37"/>
      <c r="B261" s="12"/>
      <c r="C261" s="13"/>
      <c r="D261" s="53"/>
      <c r="E261" s="105"/>
      <c r="F261" s="98"/>
      <c r="G261" s="98"/>
      <c r="H261" s="98"/>
      <c r="I261" s="98"/>
      <c r="J261" s="98"/>
      <c r="K261" s="98"/>
      <c r="L261" s="99"/>
      <c r="M261" s="450"/>
      <c r="N261" s="14"/>
    </row>
    <row r="262" spans="1:14" s="15" customFormat="1">
      <c r="A262" s="37"/>
      <c r="B262" s="12"/>
      <c r="C262" s="13"/>
      <c r="D262" s="53"/>
      <c r="E262" s="105"/>
      <c r="F262" s="98"/>
      <c r="G262" s="98"/>
      <c r="H262" s="98"/>
      <c r="I262" s="98"/>
      <c r="J262" s="98"/>
      <c r="K262" s="98"/>
      <c r="L262" s="99"/>
      <c r="M262" s="450"/>
      <c r="N262" s="14"/>
    </row>
    <row r="263" spans="1:14" s="15" customFormat="1">
      <c r="A263" s="37"/>
      <c r="B263" s="12"/>
      <c r="C263" s="13"/>
      <c r="D263" s="53"/>
      <c r="E263" s="105"/>
      <c r="F263" s="98"/>
      <c r="G263" s="98"/>
      <c r="H263" s="98"/>
      <c r="I263" s="98"/>
      <c r="J263" s="98"/>
      <c r="K263" s="98"/>
      <c r="L263" s="99"/>
      <c r="M263" s="450"/>
      <c r="N263" s="14"/>
    </row>
    <row r="264" spans="1:14" s="15" customFormat="1">
      <c r="A264" s="37"/>
      <c r="B264" s="12"/>
      <c r="C264" s="13"/>
      <c r="D264" s="53"/>
      <c r="E264" s="105"/>
      <c r="F264" s="98"/>
      <c r="G264" s="98"/>
      <c r="H264" s="98"/>
      <c r="I264" s="98"/>
      <c r="J264" s="98"/>
      <c r="K264" s="98"/>
      <c r="L264" s="99"/>
      <c r="M264" s="450"/>
      <c r="N264" s="14"/>
    </row>
    <row r="265" spans="1:14" s="15" customFormat="1">
      <c r="A265" s="37"/>
      <c r="B265" s="12"/>
      <c r="C265" s="13"/>
      <c r="D265" s="53"/>
      <c r="E265" s="105"/>
      <c r="F265" s="98"/>
      <c r="G265" s="98"/>
      <c r="H265" s="98"/>
      <c r="I265" s="98"/>
      <c r="J265" s="98"/>
      <c r="K265" s="98"/>
      <c r="L265" s="99"/>
      <c r="M265" s="450"/>
      <c r="N265" s="14"/>
    </row>
    <row r="266" spans="1:14" s="15" customFormat="1">
      <c r="A266" s="38"/>
      <c r="B266" s="14"/>
      <c r="C266" s="16"/>
      <c r="D266" s="54"/>
      <c r="E266" s="107"/>
      <c r="F266" s="100"/>
      <c r="G266" s="100"/>
      <c r="H266" s="100"/>
      <c r="I266" s="100"/>
      <c r="J266" s="100"/>
      <c r="K266" s="100"/>
      <c r="L266" s="99"/>
      <c r="M266" s="450"/>
      <c r="N266" s="14"/>
    </row>
    <row r="267" spans="1:14" s="15" customFormat="1">
      <c r="A267" s="38"/>
      <c r="B267" s="14"/>
      <c r="C267" s="16"/>
      <c r="D267" s="54"/>
      <c r="E267" s="107"/>
      <c r="F267" s="100"/>
      <c r="G267" s="100"/>
      <c r="H267" s="100"/>
      <c r="I267" s="100"/>
      <c r="J267" s="100"/>
      <c r="K267" s="100"/>
      <c r="L267" s="99"/>
      <c r="M267" s="450"/>
      <c r="N267" s="14"/>
    </row>
    <row r="268" spans="1:14" s="15" customFormat="1">
      <c r="A268" s="38"/>
      <c r="B268" s="14"/>
      <c r="C268" s="16"/>
      <c r="D268" s="54"/>
      <c r="E268" s="107"/>
      <c r="F268" s="100"/>
      <c r="G268" s="100"/>
      <c r="H268" s="100"/>
      <c r="I268" s="100"/>
      <c r="J268" s="100"/>
      <c r="K268" s="100"/>
      <c r="L268" s="99"/>
      <c r="M268" s="450"/>
      <c r="N268" s="14"/>
    </row>
    <row r="269" spans="1:14" s="15" customFormat="1">
      <c r="A269" s="38"/>
      <c r="B269" s="14"/>
      <c r="C269" s="16"/>
      <c r="D269" s="54"/>
      <c r="E269" s="107"/>
      <c r="F269" s="100"/>
      <c r="G269" s="100"/>
      <c r="H269" s="100"/>
      <c r="I269" s="100"/>
      <c r="J269" s="100"/>
      <c r="K269" s="100"/>
      <c r="L269" s="99"/>
      <c r="M269" s="450"/>
      <c r="N269" s="14"/>
    </row>
    <row r="270" spans="1:14" s="15" customFormat="1">
      <c r="A270" s="38"/>
      <c r="B270" s="14"/>
      <c r="C270" s="16"/>
      <c r="D270" s="54"/>
      <c r="E270" s="107"/>
      <c r="F270" s="100"/>
      <c r="G270" s="100"/>
      <c r="H270" s="100"/>
      <c r="I270" s="100"/>
      <c r="J270" s="100"/>
      <c r="K270" s="100"/>
      <c r="L270" s="99"/>
      <c r="M270" s="450"/>
      <c r="N270" s="14"/>
    </row>
    <row r="271" spans="1:14" s="15" customFormat="1">
      <c r="A271" s="38"/>
      <c r="B271" s="14"/>
      <c r="C271" s="16"/>
      <c r="D271" s="54"/>
      <c r="E271" s="107"/>
      <c r="F271" s="100"/>
      <c r="G271" s="100"/>
      <c r="H271" s="100"/>
      <c r="I271" s="100"/>
      <c r="J271" s="100"/>
      <c r="K271" s="100"/>
      <c r="L271" s="99"/>
      <c r="M271" s="450"/>
      <c r="N271" s="14"/>
    </row>
    <row r="272" spans="1:14" s="15" customFormat="1">
      <c r="A272" s="38"/>
      <c r="B272" s="14"/>
      <c r="C272" s="16"/>
      <c r="D272" s="54"/>
      <c r="E272" s="107"/>
      <c r="F272" s="100"/>
      <c r="G272" s="100"/>
      <c r="H272" s="100"/>
      <c r="I272" s="100"/>
      <c r="J272" s="100"/>
      <c r="K272" s="100"/>
      <c r="L272" s="99"/>
      <c r="M272" s="450"/>
      <c r="N272" s="14"/>
    </row>
    <row r="273" spans="1:14" s="15" customFormat="1">
      <c r="A273" s="38"/>
      <c r="B273" s="14"/>
      <c r="C273" s="16"/>
      <c r="D273" s="54"/>
      <c r="E273" s="107"/>
      <c r="F273" s="100"/>
      <c r="G273" s="100"/>
      <c r="H273" s="100"/>
      <c r="I273" s="100"/>
      <c r="J273" s="100"/>
      <c r="K273" s="100"/>
      <c r="L273" s="99"/>
      <c r="M273" s="450"/>
      <c r="N273" s="14"/>
    </row>
    <row r="274" spans="1:14" s="16" customFormat="1">
      <c r="A274" s="38"/>
      <c r="B274" s="14"/>
      <c r="D274" s="54"/>
      <c r="E274" s="107"/>
      <c r="F274" s="100"/>
      <c r="G274" s="100"/>
      <c r="H274" s="100"/>
      <c r="I274" s="100"/>
      <c r="J274" s="100"/>
      <c r="K274" s="100"/>
      <c r="L274" s="99"/>
      <c r="M274" s="450"/>
      <c r="N274" s="14"/>
    </row>
    <row r="275" spans="1:14" s="16" customFormat="1">
      <c r="A275" s="38"/>
      <c r="B275" s="14"/>
      <c r="D275" s="54"/>
      <c r="E275" s="107"/>
      <c r="F275" s="100"/>
      <c r="G275" s="100"/>
      <c r="H275" s="100"/>
      <c r="I275" s="100"/>
      <c r="J275" s="100"/>
      <c r="K275" s="100"/>
      <c r="L275" s="99"/>
      <c r="M275" s="450"/>
      <c r="N275" s="14"/>
    </row>
    <row r="276" spans="1:14" s="16" customFormat="1">
      <c r="A276" s="38"/>
      <c r="B276" s="14"/>
      <c r="D276" s="54"/>
      <c r="E276" s="107"/>
      <c r="F276" s="100"/>
      <c r="G276" s="100"/>
      <c r="H276" s="100"/>
      <c r="I276" s="100"/>
      <c r="J276" s="100"/>
      <c r="K276" s="100"/>
      <c r="L276" s="99"/>
      <c r="M276" s="450"/>
      <c r="N276" s="14"/>
    </row>
    <row r="277" spans="1:14" s="16" customFormat="1">
      <c r="A277" s="38"/>
      <c r="B277" s="14"/>
      <c r="D277" s="54"/>
      <c r="E277" s="107"/>
      <c r="F277" s="100"/>
      <c r="G277" s="100"/>
      <c r="H277" s="100"/>
      <c r="I277" s="100"/>
      <c r="J277" s="100"/>
      <c r="K277" s="100"/>
      <c r="L277" s="99"/>
      <c r="M277" s="450"/>
      <c r="N277" s="14"/>
    </row>
    <row r="278" spans="1:14" s="16" customFormat="1">
      <c r="A278" s="38"/>
      <c r="B278" s="14"/>
      <c r="D278" s="54"/>
      <c r="E278" s="107"/>
      <c r="F278" s="100"/>
      <c r="G278" s="100"/>
      <c r="H278" s="100"/>
      <c r="I278" s="100"/>
      <c r="J278" s="100"/>
      <c r="K278" s="100"/>
      <c r="L278" s="99"/>
      <c r="M278" s="450"/>
      <c r="N278" s="14"/>
    </row>
    <row r="279" spans="1:14" s="16" customFormat="1">
      <c r="A279" s="38"/>
      <c r="B279" s="14"/>
      <c r="D279" s="54"/>
      <c r="E279" s="107"/>
      <c r="F279" s="100"/>
      <c r="G279" s="100"/>
      <c r="H279" s="100"/>
      <c r="I279" s="100"/>
      <c r="J279" s="100"/>
      <c r="K279" s="100"/>
      <c r="L279" s="99"/>
      <c r="M279" s="450"/>
      <c r="N279" s="14"/>
    </row>
    <row r="280" spans="1:14" s="16" customFormat="1">
      <c r="A280" s="38"/>
      <c r="B280" s="14"/>
      <c r="D280" s="54"/>
      <c r="E280" s="107"/>
      <c r="F280" s="100"/>
      <c r="G280" s="100"/>
      <c r="H280" s="100"/>
      <c r="I280" s="100"/>
      <c r="J280" s="100"/>
      <c r="K280" s="100"/>
      <c r="L280" s="99"/>
      <c r="M280" s="450"/>
      <c r="N280" s="14"/>
    </row>
    <row r="281" spans="1:14" s="16" customFormat="1">
      <c r="A281" s="38"/>
      <c r="B281" s="14"/>
      <c r="D281" s="54"/>
      <c r="E281" s="107"/>
      <c r="F281" s="100"/>
      <c r="G281" s="100"/>
      <c r="H281" s="100"/>
      <c r="I281" s="100"/>
      <c r="J281" s="100"/>
      <c r="K281" s="100"/>
      <c r="L281" s="99"/>
      <c r="M281" s="450"/>
      <c r="N281" s="14"/>
    </row>
    <row r="282" spans="1:14" s="16" customFormat="1">
      <c r="A282" s="38"/>
      <c r="B282" s="14"/>
      <c r="D282" s="54"/>
      <c r="E282" s="107"/>
      <c r="F282" s="100"/>
      <c r="G282" s="100"/>
      <c r="H282" s="100"/>
      <c r="I282" s="100"/>
      <c r="J282" s="100"/>
      <c r="K282" s="100"/>
      <c r="L282" s="99"/>
      <c r="M282" s="450"/>
      <c r="N282" s="14"/>
    </row>
    <row r="283" spans="1:14" s="16" customFormat="1">
      <c r="A283" s="38"/>
      <c r="B283" s="14"/>
      <c r="D283" s="54"/>
      <c r="E283" s="107"/>
      <c r="F283" s="100"/>
      <c r="G283" s="100"/>
      <c r="H283" s="100"/>
      <c r="I283" s="100"/>
      <c r="J283" s="100"/>
      <c r="K283" s="100"/>
      <c r="L283" s="99"/>
      <c r="M283" s="450"/>
      <c r="N283" s="14"/>
    </row>
    <row r="284" spans="1:14" s="16" customFormat="1">
      <c r="A284" s="38"/>
      <c r="B284" s="14"/>
      <c r="D284" s="54"/>
      <c r="E284" s="107"/>
      <c r="F284" s="100"/>
      <c r="G284" s="100"/>
      <c r="H284" s="100"/>
      <c r="I284" s="100"/>
      <c r="J284" s="100"/>
      <c r="K284" s="100"/>
      <c r="L284" s="99"/>
      <c r="M284" s="450"/>
      <c r="N284" s="14"/>
    </row>
    <row r="285" spans="1:14" s="16" customFormat="1">
      <c r="A285" s="38"/>
      <c r="B285" s="14"/>
      <c r="D285" s="54"/>
      <c r="E285" s="107"/>
      <c r="F285" s="100"/>
      <c r="G285" s="100"/>
      <c r="H285" s="100"/>
      <c r="I285" s="100"/>
      <c r="J285" s="100"/>
      <c r="K285" s="100"/>
      <c r="L285" s="99"/>
      <c r="M285" s="450"/>
      <c r="N285" s="14"/>
    </row>
    <row r="286" spans="1:14" s="16" customFormat="1">
      <c r="A286" s="38"/>
      <c r="B286" s="14"/>
      <c r="D286" s="54"/>
      <c r="E286" s="107"/>
      <c r="F286" s="100"/>
      <c r="G286" s="100"/>
      <c r="H286" s="100"/>
      <c r="I286" s="100"/>
      <c r="J286" s="100"/>
      <c r="K286" s="100"/>
      <c r="L286" s="99"/>
      <c r="M286" s="450"/>
      <c r="N286" s="14"/>
    </row>
    <row r="287" spans="1:14" s="16" customFormat="1">
      <c r="A287" s="38"/>
      <c r="B287" s="14"/>
      <c r="D287" s="54"/>
      <c r="E287" s="107"/>
      <c r="F287" s="100"/>
      <c r="G287" s="100"/>
      <c r="H287" s="100"/>
      <c r="I287" s="100"/>
      <c r="J287" s="100"/>
      <c r="K287" s="100"/>
      <c r="L287" s="99"/>
      <c r="M287" s="450"/>
      <c r="N287" s="14"/>
    </row>
    <row r="288" spans="1:14" s="16" customFormat="1">
      <c r="A288" s="38"/>
      <c r="B288" s="14"/>
      <c r="D288" s="54"/>
      <c r="E288" s="107"/>
      <c r="F288" s="100"/>
      <c r="G288" s="100"/>
      <c r="H288" s="100"/>
      <c r="I288" s="100"/>
      <c r="J288" s="100"/>
      <c r="K288" s="100"/>
      <c r="L288" s="99"/>
      <c r="M288" s="450"/>
      <c r="N288" s="14"/>
    </row>
    <row r="289" spans="1:14" s="16" customFormat="1">
      <c r="A289" s="38"/>
      <c r="B289" s="14"/>
      <c r="D289" s="54"/>
      <c r="E289" s="107"/>
      <c r="F289" s="100"/>
      <c r="G289" s="100"/>
      <c r="H289" s="100"/>
      <c r="I289" s="100"/>
      <c r="J289" s="100"/>
      <c r="K289" s="100"/>
      <c r="L289" s="99"/>
      <c r="M289" s="450"/>
      <c r="N289" s="14"/>
    </row>
    <row r="290" spans="1:14" s="16" customFormat="1">
      <c r="A290" s="38"/>
      <c r="B290" s="14"/>
      <c r="D290" s="54"/>
      <c r="E290" s="107"/>
      <c r="F290" s="100"/>
      <c r="G290" s="100"/>
      <c r="H290" s="100"/>
      <c r="I290" s="100"/>
      <c r="J290" s="100"/>
      <c r="K290" s="100"/>
      <c r="L290" s="99"/>
      <c r="M290" s="450"/>
      <c r="N290" s="14"/>
    </row>
    <row r="291" spans="1:14" s="16" customFormat="1">
      <c r="A291" s="38"/>
      <c r="B291" s="14"/>
      <c r="D291" s="54"/>
      <c r="E291" s="107"/>
      <c r="F291" s="100"/>
      <c r="G291" s="100"/>
      <c r="H291" s="100"/>
      <c r="I291" s="100"/>
      <c r="J291" s="100"/>
      <c r="K291" s="100"/>
      <c r="L291" s="99"/>
      <c r="M291" s="450"/>
      <c r="N291" s="14"/>
    </row>
    <row r="292" spans="1:14" s="16" customFormat="1">
      <c r="A292" s="38"/>
      <c r="B292" s="14"/>
      <c r="D292" s="54"/>
      <c r="E292" s="107"/>
      <c r="F292" s="100"/>
      <c r="G292" s="100"/>
      <c r="H292" s="100"/>
      <c r="I292" s="100"/>
      <c r="J292" s="100"/>
      <c r="K292" s="100"/>
      <c r="L292" s="99"/>
      <c r="M292" s="450"/>
      <c r="N292" s="14"/>
    </row>
    <row r="293" spans="1:14" s="16" customFormat="1">
      <c r="A293" s="38"/>
      <c r="B293" s="14"/>
      <c r="D293" s="54"/>
      <c r="E293" s="107"/>
      <c r="F293" s="100"/>
      <c r="G293" s="100"/>
      <c r="H293" s="100"/>
      <c r="I293" s="100"/>
      <c r="J293" s="100"/>
      <c r="K293" s="100"/>
      <c r="L293" s="99"/>
      <c r="M293" s="450"/>
      <c r="N293" s="14"/>
    </row>
    <row r="294" spans="1:14" s="16" customFormat="1">
      <c r="A294" s="38"/>
      <c r="B294" s="14"/>
      <c r="D294" s="54"/>
      <c r="E294" s="107"/>
      <c r="F294" s="100"/>
      <c r="G294" s="100"/>
      <c r="H294" s="100"/>
      <c r="I294" s="100"/>
      <c r="J294" s="100"/>
      <c r="K294" s="100"/>
      <c r="L294" s="99"/>
      <c r="M294" s="450"/>
      <c r="N294" s="14"/>
    </row>
    <row r="295" spans="1:14" s="16" customFormat="1">
      <c r="A295" s="38"/>
      <c r="B295" s="14"/>
      <c r="D295" s="54"/>
      <c r="E295" s="107"/>
      <c r="F295" s="100"/>
      <c r="G295" s="100"/>
      <c r="H295" s="100"/>
      <c r="I295" s="100"/>
      <c r="J295" s="100"/>
      <c r="K295" s="100"/>
      <c r="L295" s="99"/>
      <c r="M295" s="450"/>
      <c r="N295" s="14"/>
    </row>
    <row r="296" spans="1:14" s="16" customFormat="1">
      <c r="A296" s="38"/>
      <c r="B296" s="14"/>
      <c r="D296" s="54"/>
      <c r="E296" s="107"/>
      <c r="F296" s="100"/>
      <c r="G296" s="100"/>
      <c r="H296" s="100"/>
      <c r="I296" s="100"/>
      <c r="J296" s="100"/>
      <c r="K296" s="100"/>
      <c r="L296" s="99"/>
      <c r="M296" s="450"/>
      <c r="N296" s="14"/>
    </row>
    <row r="297" spans="1:14" s="16" customFormat="1">
      <c r="A297" s="38"/>
      <c r="B297" s="14"/>
      <c r="D297" s="54"/>
      <c r="E297" s="107"/>
      <c r="F297" s="100"/>
      <c r="G297" s="100"/>
      <c r="H297" s="100"/>
      <c r="I297" s="100"/>
      <c r="J297" s="100"/>
      <c r="K297" s="100"/>
      <c r="L297" s="99"/>
      <c r="M297" s="450"/>
      <c r="N297" s="14"/>
    </row>
    <row r="298" spans="1:14" s="16" customFormat="1">
      <c r="A298" s="38"/>
      <c r="B298" s="14"/>
      <c r="D298" s="54"/>
      <c r="E298" s="107"/>
      <c r="F298" s="100"/>
      <c r="G298" s="100"/>
      <c r="H298" s="100"/>
      <c r="I298" s="100"/>
      <c r="J298" s="100"/>
      <c r="K298" s="100"/>
      <c r="L298" s="99"/>
      <c r="M298" s="450"/>
      <c r="N298" s="14"/>
    </row>
    <row r="299" spans="1:14" s="16" customFormat="1">
      <c r="A299" s="38"/>
      <c r="B299" s="14"/>
      <c r="D299" s="54"/>
      <c r="E299" s="107"/>
      <c r="F299" s="100"/>
      <c r="G299" s="100"/>
      <c r="H299" s="100"/>
      <c r="I299" s="100"/>
      <c r="J299" s="100"/>
      <c r="K299" s="100"/>
      <c r="L299" s="99"/>
      <c r="M299" s="450"/>
      <c r="N299" s="14"/>
    </row>
    <row r="300" spans="1:14" s="16" customFormat="1">
      <c r="A300" s="38"/>
      <c r="B300" s="14"/>
      <c r="D300" s="54"/>
      <c r="E300" s="107"/>
      <c r="F300" s="100"/>
      <c r="G300" s="100"/>
      <c r="H300" s="100"/>
      <c r="I300" s="100"/>
      <c r="J300" s="100"/>
      <c r="K300" s="100"/>
      <c r="L300" s="99"/>
      <c r="M300" s="450"/>
      <c r="N300" s="14"/>
    </row>
    <row r="301" spans="1:14" s="16" customFormat="1">
      <c r="A301" s="38"/>
      <c r="B301" s="14"/>
      <c r="D301" s="54"/>
      <c r="E301" s="107"/>
      <c r="F301" s="100"/>
      <c r="G301" s="100"/>
      <c r="H301" s="100"/>
      <c r="I301" s="100"/>
      <c r="J301" s="100"/>
      <c r="K301" s="100"/>
      <c r="L301" s="99"/>
      <c r="M301" s="450"/>
      <c r="N301" s="14"/>
    </row>
    <row r="302" spans="1:14" s="16" customFormat="1">
      <c r="A302" s="38"/>
      <c r="B302" s="14"/>
      <c r="D302" s="54"/>
      <c r="E302" s="107"/>
      <c r="F302" s="100"/>
      <c r="G302" s="100"/>
      <c r="H302" s="100"/>
      <c r="I302" s="100"/>
      <c r="J302" s="100"/>
      <c r="K302" s="100"/>
      <c r="L302" s="99"/>
      <c r="M302" s="450"/>
      <c r="N302" s="14"/>
    </row>
    <row r="303" spans="1:14" s="16" customFormat="1">
      <c r="A303" s="38"/>
      <c r="B303" s="14"/>
      <c r="D303" s="54"/>
      <c r="E303" s="107"/>
      <c r="F303" s="100"/>
      <c r="G303" s="100"/>
      <c r="H303" s="100"/>
      <c r="I303" s="100"/>
      <c r="J303" s="100"/>
      <c r="K303" s="100"/>
      <c r="L303" s="99"/>
      <c r="M303" s="450"/>
      <c r="N303" s="14"/>
    </row>
    <row r="304" spans="1:14" s="16" customFormat="1">
      <c r="A304" s="38"/>
      <c r="B304" s="14"/>
      <c r="D304" s="54"/>
      <c r="E304" s="107"/>
      <c r="F304" s="100"/>
      <c r="G304" s="100"/>
      <c r="H304" s="100"/>
      <c r="I304" s="100"/>
      <c r="J304" s="100"/>
      <c r="K304" s="100"/>
      <c r="L304" s="99"/>
      <c r="M304" s="450"/>
      <c r="N304" s="14"/>
    </row>
    <row r="305" spans="1:14" s="16" customFormat="1">
      <c r="A305" s="38"/>
      <c r="B305" s="14"/>
      <c r="D305" s="54"/>
      <c r="E305" s="107"/>
      <c r="F305" s="100"/>
      <c r="G305" s="100"/>
      <c r="H305" s="100"/>
      <c r="I305" s="100"/>
      <c r="J305" s="100"/>
      <c r="K305" s="100"/>
      <c r="L305" s="99"/>
      <c r="M305" s="450"/>
      <c r="N305" s="14"/>
    </row>
    <row r="313" spans="1:14" ht="16">
      <c r="A313" s="2"/>
      <c r="B313" s="7"/>
      <c r="C313" s="17"/>
      <c r="D313" s="55"/>
      <c r="E313" s="108"/>
      <c r="F313" s="102"/>
      <c r="G313" s="102"/>
      <c r="H313" s="102"/>
      <c r="I313" s="102"/>
      <c r="J313" s="102"/>
      <c r="K313" s="102"/>
      <c r="L313" s="101"/>
    </row>
    <row r="314" spans="1:14" ht="16">
      <c r="A314" s="2"/>
      <c r="B314" s="7"/>
      <c r="C314" s="17"/>
      <c r="D314" s="55"/>
      <c r="E314" s="108"/>
      <c r="F314" s="102"/>
      <c r="G314" s="102"/>
      <c r="H314" s="102"/>
      <c r="I314" s="102"/>
      <c r="J314" s="102"/>
      <c r="K314" s="102"/>
      <c r="L314" s="101"/>
    </row>
    <row r="315" spans="1:14" ht="16">
      <c r="A315" s="2"/>
      <c r="B315" s="7"/>
      <c r="C315" s="17"/>
      <c r="D315" s="55"/>
      <c r="E315" s="108"/>
      <c r="F315" s="102"/>
      <c r="G315" s="102"/>
      <c r="H315" s="102"/>
      <c r="I315" s="102"/>
      <c r="J315" s="102"/>
      <c r="K315" s="102"/>
      <c r="L315" s="101"/>
    </row>
    <row r="316" spans="1:14" ht="16">
      <c r="A316" s="2"/>
      <c r="B316" s="7"/>
      <c r="C316" s="17"/>
      <c r="D316" s="55"/>
      <c r="E316" s="108"/>
      <c r="F316" s="102"/>
      <c r="G316" s="102"/>
      <c r="H316" s="102"/>
      <c r="I316" s="102"/>
      <c r="J316" s="102"/>
      <c r="K316" s="102"/>
      <c r="L316" s="101"/>
    </row>
    <row r="317" spans="1:14" ht="16">
      <c r="A317" s="2"/>
      <c r="B317" s="7"/>
      <c r="C317" s="17"/>
      <c r="D317" s="55"/>
      <c r="E317" s="108"/>
      <c r="F317" s="102"/>
      <c r="G317" s="102"/>
      <c r="H317" s="102"/>
      <c r="I317" s="102"/>
      <c r="J317" s="102"/>
      <c r="K317" s="102"/>
      <c r="L317" s="101"/>
    </row>
    <row r="318" spans="1:14" ht="16">
      <c r="A318" s="2"/>
      <c r="B318" s="7"/>
      <c r="C318" s="17"/>
      <c r="D318" s="55"/>
      <c r="E318" s="108"/>
      <c r="F318" s="102"/>
      <c r="G318" s="102"/>
      <c r="H318" s="102"/>
      <c r="I318" s="102"/>
      <c r="J318" s="102"/>
      <c r="K318" s="102"/>
      <c r="L318" s="101"/>
    </row>
    <row r="319" spans="1:14" ht="16">
      <c r="A319" s="2"/>
      <c r="B319" s="7"/>
      <c r="C319" s="17"/>
      <c r="D319" s="55"/>
      <c r="E319" s="108"/>
      <c r="F319" s="102"/>
      <c r="G319" s="102"/>
      <c r="H319" s="102"/>
      <c r="I319" s="102"/>
      <c r="J319" s="102"/>
      <c r="K319" s="102"/>
      <c r="L319" s="101"/>
    </row>
    <row r="320" spans="1:14" ht="16">
      <c r="A320" s="2"/>
      <c r="B320" s="7"/>
      <c r="C320" s="17"/>
      <c r="D320" s="55"/>
      <c r="E320" s="108"/>
      <c r="F320" s="102"/>
      <c r="G320" s="102"/>
      <c r="H320" s="102"/>
      <c r="I320" s="102"/>
      <c r="J320" s="102"/>
      <c r="K320" s="102"/>
      <c r="L320" s="101"/>
    </row>
    <row r="321" spans="1:12" ht="16">
      <c r="A321" s="2"/>
      <c r="B321" s="7"/>
      <c r="C321" s="17"/>
      <c r="D321" s="55"/>
      <c r="E321" s="108"/>
      <c r="F321" s="102"/>
      <c r="G321" s="102"/>
      <c r="H321" s="102"/>
      <c r="I321" s="102"/>
      <c r="J321" s="102"/>
      <c r="K321" s="102"/>
      <c r="L321" s="101"/>
    </row>
    <row r="322" spans="1:12" ht="16">
      <c r="A322" s="2"/>
      <c r="B322" s="7"/>
      <c r="C322" s="17"/>
      <c r="D322" s="55"/>
      <c r="E322" s="108"/>
      <c r="F322" s="102"/>
      <c r="G322" s="102"/>
      <c r="H322" s="102"/>
      <c r="I322" s="102"/>
      <c r="J322" s="102"/>
      <c r="K322" s="102"/>
      <c r="L322" s="101"/>
    </row>
    <row r="323" spans="1:12" ht="16">
      <c r="A323" s="2"/>
      <c r="B323" s="7"/>
      <c r="C323" s="17"/>
      <c r="D323" s="55"/>
      <c r="E323" s="108"/>
      <c r="F323" s="102"/>
      <c r="G323" s="102"/>
      <c r="H323" s="102"/>
      <c r="I323" s="102"/>
      <c r="J323" s="102"/>
      <c r="K323" s="102"/>
      <c r="L323" s="101"/>
    </row>
    <row r="324" spans="1:12" ht="16">
      <c r="A324" s="2"/>
      <c r="B324" s="7"/>
      <c r="C324" s="17"/>
      <c r="D324" s="55"/>
      <c r="E324" s="108"/>
      <c r="F324" s="102"/>
      <c r="G324" s="102"/>
      <c r="H324" s="102"/>
      <c r="I324" s="102"/>
      <c r="J324" s="102"/>
      <c r="K324" s="102"/>
      <c r="L324" s="101"/>
    </row>
    <row r="325" spans="1:12" ht="16">
      <c r="A325" s="2"/>
      <c r="B325" s="7"/>
      <c r="C325" s="17"/>
      <c r="D325" s="55"/>
      <c r="E325" s="108"/>
      <c r="F325" s="102"/>
      <c r="G325" s="102"/>
      <c r="H325" s="102"/>
      <c r="I325" s="102"/>
      <c r="J325" s="102"/>
      <c r="K325" s="102"/>
      <c r="L325" s="101"/>
    </row>
    <row r="326" spans="1:12" ht="16">
      <c r="A326" s="2"/>
      <c r="B326" s="7"/>
      <c r="C326" s="17"/>
      <c r="D326" s="55"/>
      <c r="E326" s="108"/>
      <c r="F326" s="102"/>
      <c r="G326" s="102"/>
      <c r="H326" s="102"/>
      <c r="I326" s="102"/>
      <c r="J326" s="102"/>
      <c r="K326" s="102"/>
      <c r="L326" s="101"/>
    </row>
    <row r="327" spans="1:12" ht="16">
      <c r="A327" s="2"/>
      <c r="B327" s="7"/>
      <c r="C327" s="17"/>
      <c r="D327" s="55"/>
      <c r="E327" s="108"/>
      <c r="F327" s="102"/>
      <c r="G327" s="102"/>
      <c r="H327" s="102"/>
      <c r="I327" s="102"/>
      <c r="J327" s="102"/>
      <c r="K327" s="102"/>
      <c r="L327" s="101"/>
    </row>
    <row r="328" spans="1:12" ht="16">
      <c r="A328" s="2"/>
      <c r="B328" s="7"/>
      <c r="C328" s="17"/>
      <c r="D328" s="55"/>
      <c r="E328" s="108"/>
      <c r="F328" s="102"/>
      <c r="G328" s="102"/>
      <c r="H328" s="102"/>
      <c r="I328" s="102"/>
      <c r="J328" s="102"/>
      <c r="K328" s="102"/>
      <c r="L328" s="101"/>
    </row>
    <row r="329" spans="1:12" ht="16">
      <c r="A329" s="2"/>
      <c r="B329" s="7"/>
      <c r="C329" s="17"/>
      <c r="D329" s="55"/>
      <c r="E329" s="108"/>
      <c r="F329" s="102"/>
      <c r="G329" s="102"/>
      <c r="H329" s="102"/>
      <c r="I329" s="102"/>
      <c r="J329" s="102"/>
      <c r="K329" s="102"/>
      <c r="L329" s="101"/>
    </row>
    <row r="330" spans="1:12" ht="16">
      <c r="A330" s="2"/>
      <c r="B330" s="7"/>
      <c r="C330" s="17"/>
      <c r="D330" s="55"/>
      <c r="E330" s="108"/>
      <c r="F330" s="102"/>
      <c r="G330" s="102"/>
      <c r="H330" s="102"/>
      <c r="I330" s="102"/>
      <c r="J330" s="102"/>
      <c r="K330" s="102"/>
      <c r="L330" s="101"/>
    </row>
    <row r="331" spans="1:12" ht="16">
      <c r="A331" s="2"/>
      <c r="B331" s="7"/>
      <c r="C331" s="17"/>
      <c r="D331" s="55"/>
      <c r="E331" s="108"/>
      <c r="F331" s="102"/>
      <c r="G331" s="102"/>
      <c r="H331" s="102"/>
      <c r="I331" s="102"/>
      <c r="J331" s="102"/>
      <c r="K331" s="102"/>
      <c r="L331" s="101"/>
    </row>
    <row r="332" spans="1:12" ht="16">
      <c r="A332" s="2"/>
      <c r="B332" s="7"/>
      <c r="C332" s="17"/>
      <c r="D332" s="55"/>
      <c r="E332" s="108"/>
      <c r="F332" s="102"/>
      <c r="G332" s="102"/>
      <c r="H332" s="102"/>
      <c r="I332" s="102"/>
      <c r="J332" s="102"/>
      <c r="K332" s="102"/>
      <c r="L332" s="101"/>
    </row>
    <row r="333" spans="1:12" ht="16">
      <c r="A333" s="2"/>
      <c r="B333" s="7"/>
      <c r="C333" s="17"/>
      <c r="D333" s="55"/>
      <c r="E333" s="108"/>
      <c r="F333" s="102"/>
      <c r="G333" s="102"/>
      <c r="H333" s="102"/>
      <c r="I333" s="102"/>
      <c r="J333" s="102"/>
      <c r="K333" s="102"/>
      <c r="L333" s="101"/>
    </row>
    <row r="334" spans="1:12" ht="16">
      <c r="A334" s="2"/>
      <c r="B334" s="7"/>
      <c r="C334" s="17"/>
      <c r="D334" s="55"/>
      <c r="E334" s="108"/>
      <c r="F334" s="102"/>
      <c r="G334" s="102"/>
      <c r="H334" s="102"/>
      <c r="I334" s="102"/>
      <c r="J334" s="102"/>
      <c r="K334" s="102"/>
      <c r="L334" s="101"/>
    </row>
    <row r="335" spans="1:12" ht="16">
      <c r="A335" s="2"/>
      <c r="B335" s="7"/>
      <c r="C335" s="17"/>
      <c r="D335" s="55"/>
      <c r="E335" s="108"/>
      <c r="F335" s="102"/>
      <c r="G335" s="102"/>
      <c r="H335" s="102"/>
      <c r="I335" s="102"/>
      <c r="J335" s="102"/>
      <c r="K335" s="102"/>
      <c r="L335" s="101"/>
    </row>
    <row r="336" spans="1:12" ht="16">
      <c r="A336" s="2"/>
      <c r="B336" s="7"/>
      <c r="C336" s="17"/>
      <c r="D336" s="55"/>
      <c r="E336" s="108"/>
      <c r="F336" s="102"/>
      <c r="G336" s="102"/>
      <c r="H336" s="102"/>
      <c r="I336" s="102"/>
      <c r="J336" s="102"/>
      <c r="K336" s="102"/>
      <c r="L336" s="101"/>
    </row>
    <row r="337" spans="1:12" ht="16">
      <c r="A337" s="2"/>
      <c r="B337" s="7"/>
      <c r="C337" s="17"/>
      <c r="D337" s="55"/>
      <c r="E337" s="108"/>
      <c r="F337" s="102"/>
      <c r="G337" s="102"/>
      <c r="H337" s="102"/>
      <c r="I337" s="102"/>
      <c r="J337" s="102"/>
      <c r="K337" s="102"/>
      <c r="L337" s="101"/>
    </row>
    <row r="338" spans="1:12" ht="16">
      <c r="A338" s="2"/>
      <c r="B338" s="7"/>
      <c r="C338" s="17"/>
      <c r="D338" s="55"/>
      <c r="E338" s="108"/>
      <c r="F338" s="102"/>
      <c r="G338" s="102"/>
      <c r="H338" s="102"/>
      <c r="I338" s="102"/>
      <c r="J338" s="102"/>
      <c r="K338" s="102"/>
      <c r="L338" s="101"/>
    </row>
    <row r="339" spans="1:12" ht="16">
      <c r="A339" s="2"/>
      <c r="B339" s="7"/>
      <c r="C339" s="17"/>
      <c r="D339" s="55"/>
      <c r="E339" s="108"/>
      <c r="F339" s="102"/>
      <c r="G339" s="102"/>
      <c r="H339" s="102"/>
      <c r="I339" s="102"/>
      <c r="J339" s="102"/>
      <c r="K339" s="102"/>
      <c r="L339" s="101"/>
    </row>
    <row r="340" spans="1:12" ht="16">
      <c r="A340" s="2"/>
      <c r="B340" s="7"/>
      <c r="C340" s="17"/>
      <c r="D340" s="55"/>
      <c r="E340" s="108"/>
      <c r="F340" s="102"/>
      <c r="G340" s="102"/>
      <c r="H340" s="102"/>
      <c r="I340" s="102"/>
      <c r="J340" s="102"/>
      <c r="K340" s="102"/>
      <c r="L340" s="101"/>
    </row>
    <row r="341" spans="1:12" ht="16">
      <c r="A341" s="2"/>
      <c r="B341" s="7"/>
      <c r="C341" s="17"/>
      <c r="D341" s="55"/>
      <c r="E341" s="108"/>
      <c r="F341" s="102"/>
      <c r="G341" s="102"/>
      <c r="H341" s="102"/>
      <c r="I341" s="102"/>
      <c r="J341" s="102"/>
      <c r="K341" s="102"/>
      <c r="L341" s="101"/>
    </row>
    <row r="342" spans="1:12" ht="16">
      <c r="A342" s="2"/>
      <c r="B342" s="7"/>
      <c r="C342" s="17"/>
      <c r="D342" s="55"/>
      <c r="E342" s="108"/>
      <c r="F342" s="102"/>
      <c r="G342" s="102"/>
      <c r="H342" s="102"/>
      <c r="I342" s="102"/>
      <c r="J342" s="102"/>
      <c r="K342" s="102"/>
      <c r="L342" s="101"/>
    </row>
    <row r="343" spans="1:12" ht="16">
      <c r="A343" s="2"/>
      <c r="B343" s="7"/>
      <c r="C343" s="17"/>
      <c r="D343" s="55"/>
      <c r="E343" s="108"/>
      <c r="F343" s="102"/>
      <c r="G343" s="102"/>
      <c r="H343" s="102"/>
      <c r="I343" s="102"/>
      <c r="J343" s="102"/>
      <c r="K343" s="102"/>
      <c r="L343" s="101"/>
    </row>
    <row r="344" spans="1:12" ht="16">
      <c r="A344" s="2"/>
      <c r="B344" s="7"/>
      <c r="C344" s="17"/>
      <c r="D344" s="55"/>
      <c r="E344" s="108"/>
      <c r="F344" s="102"/>
      <c r="G344" s="102"/>
      <c r="H344" s="102"/>
      <c r="I344" s="102"/>
      <c r="J344" s="102"/>
      <c r="K344" s="102"/>
      <c r="L344" s="101"/>
    </row>
    <row r="345" spans="1:12" ht="16">
      <c r="A345" s="2"/>
      <c r="B345" s="7"/>
      <c r="C345" s="17"/>
      <c r="D345" s="55"/>
      <c r="E345" s="108"/>
      <c r="F345" s="102"/>
      <c r="G345" s="102"/>
      <c r="H345" s="102"/>
      <c r="I345" s="102"/>
      <c r="J345" s="102"/>
      <c r="K345" s="102"/>
      <c r="L345" s="101"/>
    </row>
    <row r="346" spans="1:12" ht="16">
      <c r="A346" s="2"/>
      <c r="B346" s="7"/>
      <c r="C346" s="17"/>
      <c r="D346" s="55"/>
      <c r="E346" s="108"/>
      <c r="F346" s="102"/>
      <c r="G346" s="102"/>
      <c r="H346" s="102"/>
      <c r="I346" s="102"/>
      <c r="J346" s="102"/>
      <c r="K346" s="102"/>
      <c r="L346" s="101"/>
    </row>
    <row r="347" spans="1:12" ht="16">
      <c r="A347" s="2"/>
      <c r="B347" s="7"/>
      <c r="C347" s="17"/>
      <c r="D347" s="55"/>
      <c r="E347" s="108"/>
      <c r="F347" s="102"/>
      <c r="G347" s="102"/>
      <c r="H347" s="102"/>
      <c r="I347" s="102"/>
      <c r="J347" s="102"/>
      <c r="K347" s="102"/>
      <c r="L347" s="101"/>
    </row>
    <row r="348" spans="1:12" ht="16">
      <c r="A348" s="2"/>
      <c r="B348" s="7"/>
      <c r="C348" s="17"/>
      <c r="D348" s="55"/>
      <c r="E348" s="108"/>
      <c r="F348" s="102"/>
      <c r="G348" s="102"/>
      <c r="H348" s="102"/>
      <c r="I348" s="102"/>
      <c r="J348" s="102"/>
      <c r="K348" s="102"/>
      <c r="L348" s="101"/>
    </row>
    <row r="349" spans="1:12" ht="16">
      <c r="A349" s="2"/>
      <c r="B349" s="7"/>
      <c r="C349" s="17"/>
      <c r="D349" s="55"/>
      <c r="E349" s="108"/>
      <c r="F349" s="102"/>
      <c r="G349" s="102"/>
      <c r="H349" s="102"/>
      <c r="I349" s="102"/>
      <c r="J349" s="102"/>
      <c r="K349" s="102"/>
      <c r="L349" s="101"/>
    </row>
    <row r="350" spans="1:12" ht="16">
      <c r="A350" s="2"/>
      <c r="B350" s="7"/>
      <c r="C350" s="17"/>
      <c r="D350" s="55"/>
      <c r="E350" s="108"/>
      <c r="F350" s="102"/>
      <c r="G350" s="102"/>
      <c r="H350" s="102"/>
      <c r="I350" s="102"/>
      <c r="J350" s="102"/>
      <c r="K350" s="102"/>
      <c r="L350" s="101"/>
    </row>
    <row r="351" spans="1:12" ht="16">
      <c r="A351" s="2"/>
      <c r="B351" s="7"/>
      <c r="C351" s="17"/>
      <c r="D351" s="55"/>
      <c r="E351" s="108"/>
      <c r="F351" s="102"/>
      <c r="G351" s="102"/>
      <c r="H351" s="102"/>
      <c r="I351" s="102"/>
      <c r="J351" s="102"/>
      <c r="K351" s="102"/>
      <c r="L351" s="101"/>
    </row>
    <row r="352" spans="1:12" ht="16">
      <c r="A352" s="2"/>
      <c r="B352" s="7"/>
      <c r="C352" s="17"/>
      <c r="D352" s="55"/>
      <c r="E352" s="108"/>
      <c r="F352" s="102"/>
      <c r="G352" s="102"/>
      <c r="H352" s="102"/>
      <c r="I352" s="102"/>
      <c r="J352" s="102"/>
      <c r="K352" s="102"/>
      <c r="L352" s="101"/>
    </row>
    <row r="353" spans="1:12" ht="16">
      <c r="A353" s="2"/>
      <c r="B353" s="7"/>
      <c r="C353" s="17"/>
      <c r="D353" s="55"/>
      <c r="E353" s="108"/>
      <c r="F353" s="102"/>
      <c r="G353" s="102"/>
      <c r="H353" s="102"/>
      <c r="I353" s="102"/>
      <c r="J353" s="102"/>
      <c r="K353" s="102"/>
      <c r="L353" s="101"/>
    </row>
    <row r="354" spans="1:12" ht="16">
      <c r="A354" s="2"/>
      <c r="B354" s="7"/>
      <c r="C354" s="17"/>
      <c r="D354" s="55"/>
      <c r="E354" s="108"/>
      <c r="F354" s="102"/>
      <c r="G354" s="102"/>
      <c r="H354" s="102"/>
      <c r="I354" s="102"/>
      <c r="J354" s="102"/>
      <c r="K354" s="102"/>
      <c r="L354" s="101"/>
    </row>
    <row r="355" spans="1:12" ht="16">
      <c r="A355" s="2"/>
      <c r="B355" s="7"/>
      <c r="C355" s="17"/>
      <c r="D355" s="55"/>
      <c r="E355" s="108"/>
      <c r="F355" s="102"/>
      <c r="G355" s="102"/>
      <c r="H355" s="102"/>
      <c r="I355" s="102"/>
      <c r="J355" s="102"/>
      <c r="K355" s="102"/>
      <c r="L355" s="101"/>
    </row>
    <row r="356" spans="1:12" ht="16">
      <c r="A356" s="2"/>
      <c r="B356" s="7"/>
      <c r="C356" s="17"/>
      <c r="D356" s="55"/>
      <c r="E356" s="108"/>
      <c r="F356" s="102"/>
      <c r="G356" s="102"/>
      <c r="H356" s="102"/>
      <c r="I356" s="102"/>
      <c r="J356" s="102"/>
      <c r="K356" s="102"/>
      <c r="L356" s="101"/>
    </row>
    <row r="357" spans="1:12" ht="16">
      <c r="A357" s="2"/>
      <c r="B357" s="7"/>
      <c r="C357" s="17"/>
      <c r="D357" s="55"/>
      <c r="E357" s="108"/>
      <c r="F357" s="102"/>
      <c r="G357" s="102"/>
      <c r="H357" s="102"/>
      <c r="I357" s="102"/>
      <c r="J357" s="102"/>
      <c r="K357" s="102"/>
      <c r="L357" s="101"/>
    </row>
    <row r="358" spans="1:12" ht="16">
      <c r="A358" s="2"/>
      <c r="B358" s="7"/>
      <c r="C358" s="17"/>
      <c r="D358" s="55"/>
      <c r="E358" s="108"/>
      <c r="F358" s="102"/>
      <c r="G358" s="102"/>
      <c r="H358" s="102"/>
      <c r="I358" s="102"/>
      <c r="J358" s="102"/>
      <c r="K358" s="102"/>
      <c r="L358" s="101"/>
    </row>
    <row r="359" spans="1:12" ht="16">
      <c r="A359" s="2"/>
      <c r="B359" s="7"/>
      <c r="C359" s="17"/>
      <c r="D359" s="55"/>
      <c r="E359" s="108"/>
      <c r="F359" s="102"/>
      <c r="G359" s="102"/>
      <c r="H359" s="102"/>
      <c r="I359" s="102"/>
      <c r="J359" s="102"/>
      <c r="K359" s="102"/>
      <c r="L359" s="101"/>
    </row>
    <row r="360" spans="1:12" ht="16">
      <c r="A360" s="2"/>
      <c r="B360" s="7"/>
      <c r="C360" s="17"/>
      <c r="D360" s="55"/>
      <c r="E360" s="108"/>
      <c r="F360" s="102"/>
      <c r="G360" s="102"/>
      <c r="H360" s="102"/>
      <c r="I360" s="102"/>
      <c r="J360" s="102"/>
      <c r="K360" s="102"/>
      <c r="L360" s="101"/>
    </row>
    <row r="361" spans="1:12" ht="16">
      <c r="A361" s="2"/>
      <c r="B361" s="7"/>
      <c r="C361" s="17"/>
      <c r="D361" s="55"/>
      <c r="E361" s="108"/>
      <c r="F361" s="102"/>
      <c r="G361" s="102"/>
      <c r="H361" s="102"/>
      <c r="I361" s="102"/>
      <c r="J361" s="102"/>
      <c r="K361" s="102"/>
      <c r="L361" s="101"/>
    </row>
    <row r="362" spans="1:12" ht="16">
      <c r="A362" s="2"/>
      <c r="B362" s="7"/>
      <c r="C362" s="17"/>
      <c r="D362" s="55"/>
      <c r="E362" s="108"/>
      <c r="F362" s="102"/>
      <c r="G362" s="102"/>
      <c r="H362" s="102"/>
      <c r="I362" s="102"/>
      <c r="J362" s="102"/>
      <c r="K362" s="102"/>
      <c r="L362" s="101"/>
    </row>
    <row r="363" spans="1:12" ht="16">
      <c r="A363" s="2"/>
      <c r="B363" s="7"/>
      <c r="C363" s="17"/>
      <c r="D363" s="55"/>
      <c r="E363" s="108"/>
      <c r="F363" s="102"/>
      <c r="G363" s="102"/>
      <c r="H363" s="102"/>
      <c r="I363" s="102"/>
      <c r="J363" s="102"/>
      <c r="K363" s="102"/>
      <c r="L363" s="101"/>
    </row>
    <row r="364" spans="1:12" ht="16">
      <c r="A364" s="2"/>
      <c r="B364" s="7"/>
      <c r="C364" s="17"/>
      <c r="D364" s="55"/>
      <c r="E364" s="108"/>
      <c r="F364" s="102"/>
      <c r="G364" s="102"/>
      <c r="H364" s="102"/>
      <c r="I364" s="102"/>
      <c r="J364" s="102"/>
      <c r="K364" s="102"/>
      <c r="L364" s="101"/>
    </row>
    <row r="365" spans="1:12" ht="16">
      <c r="A365" s="2"/>
      <c r="B365" s="7"/>
      <c r="C365" s="17"/>
      <c r="D365" s="55"/>
      <c r="E365" s="108"/>
      <c r="F365" s="102"/>
      <c r="G365" s="102"/>
      <c r="H365" s="102"/>
      <c r="I365" s="102"/>
      <c r="J365" s="102"/>
      <c r="K365" s="102"/>
      <c r="L365" s="101"/>
    </row>
    <row r="366" spans="1:12" ht="16">
      <c r="A366" s="2"/>
      <c r="B366" s="7"/>
      <c r="C366" s="17"/>
      <c r="D366" s="55"/>
      <c r="E366" s="108"/>
      <c r="F366" s="102"/>
      <c r="G366" s="102"/>
      <c r="H366" s="102"/>
      <c r="I366" s="102"/>
      <c r="J366" s="102"/>
      <c r="K366" s="102"/>
      <c r="L366" s="101"/>
    </row>
    <row r="367" spans="1:12" ht="16">
      <c r="A367" s="2"/>
      <c r="B367" s="7"/>
      <c r="C367" s="17"/>
      <c r="D367" s="55"/>
      <c r="E367" s="108"/>
      <c r="F367" s="102"/>
      <c r="G367" s="102"/>
      <c r="H367" s="102"/>
      <c r="I367" s="102"/>
      <c r="J367" s="102"/>
      <c r="K367" s="102"/>
      <c r="L367" s="101"/>
    </row>
    <row r="368" spans="1:12" ht="16">
      <c r="A368" s="2"/>
      <c r="B368" s="7"/>
      <c r="C368" s="17"/>
      <c r="D368" s="55"/>
      <c r="E368" s="108"/>
      <c r="F368" s="102"/>
      <c r="G368" s="102"/>
      <c r="H368" s="102"/>
      <c r="I368" s="102"/>
      <c r="J368" s="102"/>
      <c r="K368" s="102"/>
      <c r="L368" s="101"/>
    </row>
    <row r="369" spans="1:12" ht="16">
      <c r="A369" s="2"/>
      <c r="B369" s="7"/>
      <c r="C369" s="17"/>
      <c r="D369" s="55"/>
      <c r="E369" s="108"/>
      <c r="F369" s="102"/>
      <c r="G369" s="102"/>
      <c r="H369" s="102"/>
      <c r="I369" s="102"/>
      <c r="J369" s="102"/>
      <c r="K369" s="102"/>
      <c r="L369" s="101"/>
    </row>
    <row r="370" spans="1:12" ht="16">
      <c r="A370" s="2"/>
      <c r="B370" s="7"/>
      <c r="C370" s="17"/>
      <c r="D370" s="55"/>
      <c r="E370" s="108"/>
      <c r="F370" s="102"/>
      <c r="G370" s="102"/>
      <c r="H370" s="102"/>
      <c r="I370" s="102"/>
      <c r="J370" s="102"/>
      <c r="K370" s="102"/>
      <c r="L370" s="101"/>
    </row>
    <row r="371" spans="1:12" ht="16">
      <c r="A371" s="2"/>
      <c r="B371" s="7"/>
      <c r="C371" s="17"/>
      <c r="D371" s="55"/>
      <c r="E371" s="108"/>
      <c r="F371" s="102"/>
      <c r="G371" s="102"/>
      <c r="H371" s="102"/>
      <c r="I371" s="102"/>
      <c r="J371" s="102"/>
      <c r="K371" s="102"/>
      <c r="L371" s="101"/>
    </row>
    <row r="372" spans="1:12" ht="16">
      <c r="A372" s="2"/>
      <c r="B372" s="7"/>
      <c r="C372" s="17"/>
      <c r="D372" s="55"/>
      <c r="E372" s="108"/>
      <c r="F372" s="102"/>
      <c r="G372" s="102"/>
      <c r="H372" s="102"/>
      <c r="I372" s="102"/>
      <c r="J372" s="102"/>
      <c r="K372" s="102"/>
      <c r="L372" s="101"/>
    </row>
    <row r="373" spans="1:12" ht="16">
      <c r="A373" s="2"/>
      <c r="B373" s="7"/>
      <c r="C373" s="17"/>
      <c r="D373" s="55"/>
      <c r="E373" s="108"/>
      <c r="F373" s="102"/>
      <c r="G373" s="102"/>
      <c r="H373" s="102"/>
      <c r="I373" s="102"/>
      <c r="J373" s="102"/>
      <c r="K373" s="102"/>
      <c r="L373" s="101"/>
    </row>
    <row r="374" spans="1:12" ht="16">
      <c r="A374" s="2"/>
      <c r="B374" s="7"/>
      <c r="C374" s="17"/>
      <c r="D374" s="55"/>
      <c r="E374" s="108"/>
      <c r="F374" s="102"/>
      <c r="G374" s="102"/>
      <c r="H374" s="102"/>
      <c r="I374" s="102"/>
      <c r="J374" s="102"/>
      <c r="K374" s="102"/>
      <c r="L374" s="101"/>
    </row>
    <row r="375" spans="1:12" ht="16">
      <c r="A375" s="2"/>
      <c r="B375" s="7"/>
      <c r="C375" s="17"/>
      <c r="D375" s="55"/>
      <c r="E375" s="108"/>
      <c r="F375" s="102"/>
      <c r="G375" s="102"/>
      <c r="H375" s="102"/>
      <c r="I375" s="102"/>
      <c r="J375" s="102"/>
      <c r="K375" s="102"/>
      <c r="L375" s="101"/>
    </row>
    <row r="376" spans="1:12" ht="16">
      <c r="A376" s="2"/>
      <c r="B376" s="7"/>
      <c r="C376" s="17"/>
      <c r="D376" s="55"/>
      <c r="E376" s="108"/>
      <c r="F376" s="102"/>
      <c r="G376" s="102"/>
      <c r="H376" s="102"/>
      <c r="I376" s="102"/>
      <c r="J376" s="102"/>
      <c r="K376" s="102"/>
      <c r="L376" s="101"/>
    </row>
    <row r="377" spans="1:12" ht="16">
      <c r="A377" s="2"/>
      <c r="B377" s="7"/>
      <c r="C377" s="17"/>
      <c r="D377" s="55"/>
      <c r="E377" s="108"/>
      <c r="F377" s="102"/>
      <c r="G377" s="102"/>
      <c r="H377" s="102"/>
      <c r="I377" s="102"/>
      <c r="J377" s="102"/>
      <c r="K377" s="102"/>
      <c r="L377" s="101"/>
    </row>
    <row r="378" spans="1:12" ht="16">
      <c r="A378" s="2"/>
      <c r="B378" s="7"/>
      <c r="C378" s="17"/>
      <c r="D378" s="55"/>
      <c r="E378" s="108"/>
      <c r="F378" s="102"/>
      <c r="G378" s="102"/>
      <c r="H378" s="102"/>
      <c r="I378" s="102"/>
      <c r="J378" s="102"/>
      <c r="K378" s="102"/>
      <c r="L378" s="101"/>
    </row>
    <row r="379" spans="1:12" ht="16">
      <c r="A379" s="2"/>
      <c r="B379" s="7"/>
      <c r="C379" s="17"/>
      <c r="D379" s="55"/>
      <c r="E379" s="108"/>
      <c r="F379" s="102"/>
      <c r="G379" s="102"/>
      <c r="H379" s="102"/>
      <c r="I379" s="102"/>
      <c r="J379" s="102"/>
      <c r="K379" s="102"/>
      <c r="L379" s="101"/>
    </row>
    <row r="380" spans="1:12" ht="16">
      <c r="A380" s="2"/>
      <c r="B380" s="7"/>
      <c r="C380" s="17"/>
      <c r="D380" s="55"/>
      <c r="E380" s="108"/>
      <c r="F380" s="102"/>
      <c r="G380" s="102"/>
      <c r="H380" s="102"/>
      <c r="I380" s="102"/>
      <c r="J380" s="102"/>
      <c r="K380" s="102"/>
      <c r="L380" s="101"/>
    </row>
    <row r="381" spans="1:12" ht="16">
      <c r="A381" s="2"/>
      <c r="B381" s="7"/>
      <c r="C381" s="17"/>
      <c r="D381" s="55"/>
      <c r="E381" s="108"/>
      <c r="F381" s="102"/>
      <c r="G381" s="102"/>
      <c r="H381" s="102"/>
      <c r="I381" s="102"/>
      <c r="J381" s="102"/>
      <c r="K381" s="102"/>
      <c r="L381" s="101"/>
    </row>
    <row r="382" spans="1:12" ht="16">
      <c r="A382" s="2"/>
      <c r="B382" s="7"/>
      <c r="C382" s="17"/>
      <c r="D382" s="55"/>
      <c r="E382" s="108"/>
      <c r="F382" s="102"/>
      <c r="G382" s="102"/>
      <c r="H382" s="102"/>
      <c r="I382" s="102"/>
      <c r="J382" s="102"/>
      <c r="K382" s="102"/>
      <c r="L382" s="101"/>
    </row>
    <row r="383" spans="1:12" ht="16">
      <c r="A383" s="2"/>
      <c r="B383" s="7"/>
      <c r="C383" s="17"/>
      <c r="D383" s="55"/>
      <c r="E383" s="108"/>
      <c r="F383" s="102"/>
      <c r="G383" s="102"/>
      <c r="H383" s="102"/>
      <c r="I383" s="102"/>
      <c r="J383" s="102"/>
      <c r="K383" s="102"/>
      <c r="L383" s="101"/>
    </row>
    <row r="384" spans="1:12" ht="16">
      <c r="A384" s="2"/>
      <c r="B384" s="7"/>
      <c r="C384" s="17"/>
      <c r="D384" s="55"/>
      <c r="E384" s="108"/>
      <c r="F384" s="102"/>
      <c r="G384" s="102"/>
      <c r="H384" s="102"/>
      <c r="I384" s="102"/>
      <c r="J384" s="102"/>
      <c r="K384" s="102"/>
      <c r="L384" s="101"/>
    </row>
    <row r="385" spans="1:12" ht="16">
      <c r="A385" s="2"/>
      <c r="B385" s="7"/>
      <c r="C385" s="17"/>
      <c r="D385" s="55"/>
      <c r="E385" s="108"/>
      <c r="F385" s="102"/>
      <c r="G385" s="102"/>
      <c r="H385" s="102"/>
      <c r="I385" s="102"/>
      <c r="J385" s="102"/>
      <c r="K385" s="102"/>
      <c r="L385" s="101"/>
    </row>
    <row r="386" spans="1:12" ht="16">
      <c r="A386" s="2"/>
      <c r="B386" s="7"/>
      <c r="C386" s="17"/>
      <c r="D386" s="55"/>
      <c r="E386" s="108"/>
      <c r="F386" s="102"/>
      <c r="G386" s="102"/>
      <c r="H386" s="102"/>
      <c r="I386" s="102"/>
      <c r="J386" s="102"/>
      <c r="K386" s="102"/>
      <c r="L386" s="101"/>
    </row>
    <row r="387" spans="1:12" ht="16">
      <c r="A387" s="2"/>
      <c r="B387" s="7"/>
      <c r="C387" s="17"/>
      <c r="D387" s="55"/>
      <c r="E387" s="108"/>
      <c r="F387" s="102"/>
      <c r="G387" s="102"/>
      <c r="H387" s="102"/>
      <c r="I387" s="102"/>
      <c r="J387" s="102"/>
      <c r="K387" s="102"/>
      <c r="L387" s="101"/>
    </row>
    <row r="388" spans="1:12" ht="16">
      <c r="A388" s="2"/>
      <c r="B388" s="7"/>
      <c r="C388" s="17"/>
      <c r="D388" s="55"/>
      <c r="E388" s="108"/>
      <c r="F388" s="102"/>
      <c r="G388" s="102"/>
      <c r="H388" s="102"/>
      <c r="I388" s="102"/>
      <c r="J388" s="102"/>
      <c r="K388" s="102"/>
      <c r="L388" s="101"/>
    </row>
    <row r="389" spans="1:12" ht="16">
      <c r="A389" s="2"/>
      <c r="B389" s="7"/>
      <c r="C389" s="17"/>
      <c r="D389" s="55"/>
      <c r="E389" s="108"/>
      <c r="F389" s="102"/>
      <c r="G389" s="102"/>
      <c r="H389" s="102"/>
      <c r="I389" s="102"/>
      <c r="J389" s="102"/>
      <c r="K389" s="102"/>
      <c r="L389" s="101"/>
    </row>
    <row r="390" spans="1:12" ht="16">
      <c r="A390" s="2"/>
      <c r="B390" s="7"/>
      <c r="C390" s="17"/>
      <c r="D390" s="55"/>
      <c r="E390" s="108"/>
      <c r="F390" s="102"/>
      <c r="G390" s="102"/>
      <c r="H390" s="102"/>
      <c r="I390" s="102"/>
      <c r="J390" s="102"/>
      <c r="K390" s="102"/>
      <c r="L390" s="101"/>
    </row>
    <row r="391" spans="1:12" ht="16">
      <c r="A391" s="2"/>
      <c r="B391" s="7"/>
      <c r="C391" s="17"/>
      <c r="D391" s="55"/>
      <c r="E391" s="108"/>
      <c r="F391" s="102"/>
      <c r="G391" s="102"/>
      <c r="H391" s="102"/>
      <c r="I391" s="102"/>
      <c r="J391" s="102"/>
      <c r="K391" s="102"/>
      <c r="L391" s="101"/>
    </row>
    <row r="392" spans="1:12" ht="16">
      <c r="A392" s="2"/>
      <c r="B392" s="7"/>
      <c r="C392" s="17"/>
      <c r="D392" s="55"/>
      <c r="E392" s="108"/>
      <c r="F392" s="102"/>
      <c r="G392" s="102"/>
      <c r="H392" s="102"/>
      <c r="I392" s="102"/>
      <c r="J392" s="102"/>
      <c r="K392" s="102"/>
      <c r="L392" s="101"/>
    </row>
    <row r="393" spans="1:12" ht="16">
      <c r="A393" s="2"/>
      <c r="B393" s="7"/>
      <c r="C393" s="17"/>
      <c r="D393" s="55"/>
      <c r="E393" s="108"/>
      <c r="F393" s="102"/>
      <c r="G393" s="102"/>
      <c r="H393" s="102"/>
      <c r="I393" s="102"/>
      <c r="J393" s="102"/>
      <c r="K393" s="102"/>
      <c r="L393" s="101"/>
    </row>
    <row r="394" spans="1:12" ht="16">
      <c r="A394" s="2"/>
      <c r="B394" s="7"/>
      <c r="C394" s="17"/>
      <c r="D394" s="55"/>
      <c r="E394" s="108"/>
      <c r="F394" s="102"/>
      <c r="G394" s="102"/>
      <c r="H394" s="102"/>
      <c r="I394" s="102"/>
      <c r="J394" s="102"/>
      <c r="K394" s="102"/>
      <c r="L394" s="101"/>
    </row>
    <row r="395" spans="1:12" ht="16">
      <c r="A395" s="2"/>
      <c r="B395" s="7"/>
      <c r="C395" s="17"/>
      <c r="D395" s="55"/>
      <c r="E395" s="108"/>
      <c r="F395" s="102"/>
      <c r="G395" s="102"/>
      <c r="H395" s="102"/>
      <c r="I395" s="102"/>
      <c r="J395" s="102"/>
      <c r="K395" s="102"/>
      <c r="L395" s="101"/>
    </row>
    <row r="396" spans="1:12" ht="16">
      <c r="A396" s="2"/>
      <c r="B396" s="7"/>
      <c r="C396" s="17"/>
      <c r="D396" s="55"/>
      <c r="E396" s="108"/>
      <c r="F396" s="102"/>
      <c r="G396" s="102"/>
      <c r="H396" s="102"/>
      <c r="I396" s="102"/>
      <c r="J396" s="102"/>
      <c r="K396" s="102"/>
      <c r="L396" s="101"/>
    </row>
    <row r="397" spans="1:12" ht="16">
      <c r="A397" s="2"/>
      <c r="B397" s="7"/>
      <c r="C397" s="17"/>
      <c r="D397" s="55"/>
      <c r="E397" s="108"/>
      <c r="F397" s="102"/>
      <c r="G397" s="102"/>
      <c r="H397" s="102"/>
      <c r="I397" s="102"/>
      <c r="J397" s="102"/>
      <c r="K397" s="102"/>
      <c r="L397" s="101"/>
    </row>
    <row r="398" spans="1:12" ht="16">
      <c r="A398" s="2"/>
      <c r="B398" s="7"/>
      <c r="C398" s="17"/>
      <c r="D398" s="55"/>
      <c r="E398" s="108"/>
      <c r="F398" s="102"/>
      <c r="G398" s="102"/>
      <c r="H398" s="102"/>
      <c r="I398" s="102"/>
      <c r="J398" s="102"/>
      <c r="K398" s="102"/>
      <c r="L398" s="101"/>
    </row>
    <row r="399" spans="1:12" ht="16">
      <c r="A399" s="2"/>
      <c r="B399" s="7"/>
      <c r="C399" s="17"/>
      <c r="D399" s="55"/>
      <c r="E399" s="108"/>
      <c r="F399" s="102"/>
      <c r="G399" s="102"/>
      <c r="H399" s="102"/>
      <c r="I399" s="102"/>
      <c r="J399" s="102"/>
      <c r="K399" s="102"/>
      <c r="L399" s="101"/>
    </row>
    <row r="400" spans="1:12" ht="16">
      <c r="A400" s="2"/>
      <c r="B400" s="7"/>
      <c r="C400" s="17"/>
      <c r="D400" s="55"/>
      <c r="E400" s="108"/>
      <c r="F400" s="102"/>
      <c r="G400" s="102"/>
      <c r="H400" s="102"/>
      <c r="I400" s="102"/>
      <c r="J400" s="102"/>
      <c r="K400" s="102"/>
      <c r="L400" s="101"/>
    </row>
    <row r="401" spans="1:12" ht="16">
      <c r="A401" s="2"/>
      <c r="B401" s="7"/>
      <c r="C401" s="17"/>
      <c r="D401" s="55"/>
      <c r="E401" s="108"/>
      <c r="F401" s="102"/>
      <c r="G401" s="102"/>
      <c r="H401" s="102"/>
      <c r="I401" s="102"/>
      <c r="J401" s="102"/>
      <c r="K401" s="102"/>
      <c r="L401" s="101"/>
    </row>
    <row r="402" spans="1:12" ht="16">
      <c r="A402" s="2"/>
      <c r="B402" s="7"/>
      <c r="C402" s="17"/>
      <c r="D402" s="55"/>
      <c r="E402" s="108"/>
      <c r="F402" s="102"/>
      <c r="G402" s="102"/>
      <c r="H402" s="102"/>
      <c r="I402" s="102"/>
      <c r="J402" s="102"/>
      <c r="K402" s="102"/>
      <c r="L402" s="101"/>
    </row>
    <row r="403" spans="1:12" ht="16">
      <c r="A403" s="2"/>
      <c r="B403" s="7"/>
      <c r="C403" s="17"/>
      <c r="D403" s="55"/>
      <c r="E403" s="108"/>
      <c r="F403" s="102"/>
      <c r="G403" s="102"/>
      <c r="H403" s="102"/>
      <c r="I403" s="102"/>
      <c r="J403" s="102"/>
      <c r="K403" s="102"/>
      <c r="L403" s="101"/>
    </row>
    <row r="404" spans="1:12" ht="16">
      <c r="A404" s="2"/>
      <c r="B404" s="7"/>
      <c r="C404" s="17"/>
      <c r="D404" s="55"/>
      <c r="E404" s="108"/>
      <c r="F404" s="102"/>
      <c r="G404" s="102"/>
      <c r="H404" s="102"/>
      <c r="I404" s="102"/>
      <c r="J404" s="102"/>
      <c r="K404" s="102"/>
      <c r="L404" s="101"/>
    </row>
    <row r="405" spans="1:12" ht="16">
      <c r="A405" s="2"/>
      <c r="B405" s="7"/>
      <c r="C405" s="17"/>
      <c r="D405" s="55"/>
      <c r="E405" s="108"/>
      <c r="F405" s="102"/>
      <c r="G405" s="102"/>
      <c r="H405" s="102"/>
      <c r="I405" s="102"/>
      <c r="J405" s="102"/>
      <c r="K405" s="102"/>
      <c r="L405" s="101"/>
    </row>
    <row r="406" spans="1:12" ht="16">
      <c r="A406" s="2"/>
      <c r="B406" s="7"/>
      <c r="C406" s="17"/>
      <c r="D406" s="55"/>
      <c r="E406" s="108"/>
      <c r="F406" s="102"/>
      <c r="G406" s="102"/>
      <c r="H406" s="102"/>
      <c r="I406" s="102"/>
      <c r="J406" s="102"/>
      <c r="K406" s="102"/>
      <c r="L406" s="101"/>
    </row>
    <row r="407" spans="1:12" ht="16">
      <c r="A407" s="2"/>
      <c r="B407" s="7"/>
      <c r="C407" s="17"/>
      <c r="D407" s="55"/>
      <c r="E407" s="108"/>
      <c r="F407" s="102"/>
      <c r="G407" s="102"/>
      <c r="H407" s="102"/>
      <c r="I407" s="102"/>
      <c r="J407" s="102"/>
      <c r="K407" s="102"/>
      <c r="L407" s="101"/>
    </row>
    <row r="408" spans="1:12" ht="16">
      <c r="A408" s="2"/>
      <c r="B408" s="7"/>
      <c r="C408" s="17"/>
      <c r="D408" s="55"/>
      <c r="E408" s="108"/>
      <c r="F408" s="102"/>
      <c r="G408" s="102"/>
      <c r="H408" s="102"/>
      <c r="I408" s="102"/>
      <c r="J408" s="102"/>
      <c r="K408" s="102"/>
      <c r="L408" s="101"/>
    </row>
    <row r="409" spans="1:12" ht="16">
      <c r="A409" s="2"/>
      <c r="B409" s="7"/>
      <c r="C409" s="17"/>
      <c r="D409" s="55"/>
      <c r="E409" s="108"/>
      <c r="F409" s="102"/>
      <c r="G409" s="102"/>
      <c r="H409" s="102"/>
      <c r="I409" s="102"/>
      <c r="J409" s="102"/>
      <c r="K409" s="102"/>
      <c r="L409" s="101"/>
    </row>
    <row r="410" spans="1:12" ht="16">
      <c r="A410" s="2"/>
      <c r="B410" s="7"/>
      <c r="C410" s="17"/>
      <c r="D410" s="55"/>
      <c r="E410" s="108"/>
      <c r="F410" s="102"/>
      <c r="G410" s="102"/>
      <c r="H410" s="102"/>
      <c r="I410" s="102"/>
      <c r="J410" s="102"/>
      <c r="K410" s="102"/>
      <c r="L410" s="101"/>
    </row>
    <row r="411" spans="1:12" ht="16">
      <c r="A411" s="2"/>
      <c r="B411" s="7"/>
      <c r="C411" s="17"/>
      <c r="D411" s="55"/>
      <c r="E411" s="108"/>
      <c r="F411" s="102"/>
      <c r="G411" s="102"/>
      <c r="H411" s="102"/>
      <c r="I411" s="102"/>
      <c r="J411" s="102"/>
      <c r="K411" s="102"/>
      <c r="L411" s="101"/>
    </row>
    <row r="412" spans="1:12" ht="16">
      <c r="A412" s="2"/>
      <c r="B412" s="7"/>
      <c r="C412" s="17"/>
      <c r="D412" s="55"/>
      <c r="E412" s="108"/>
      <c r="F412" s="102"/>
      <c r="G412" s="102"/>
      <c r="H412" s="102"/>
      <c r="I412" s="102"/>
      <c r="J412" s="102"/>
      <c r="K412" s="102"/>
      <c r="L412" s="101"/>
    </row>
    <row r="413" spans="1:12" ht="16">
      <c r="A413" s="2"/>
      <c r="B413" s="7"/>
      <c r="C413" s="17"/>
      <c r="D413" s="55"/>
      <c r="E413" s="108"/>
      <c r="F413" s="102"/>
      <c r="G413" s="102"/>
      <c r="H413" s="102"/>
      <c r="I413" s="102"/>
      <c r="J413" s="102"/>
      <c r="K413" s="102"/>
      <c r="L413" s="101"/>
    </row>
    <row r="414" spans="1:12" ht="16">
      <c r="A414" s="2"/>
      <c r="B414" s="7"/>
      <c r="C414" s="17"/>
      <c r="D414" s="55"/>
      <c r="E414" s="108"/>
      <c r="F414" s="102"/>
      <c r="G414" s="102"/>
      <c r="H414" s="102"/>
      <c r="I414" s="102"/>
      <c r="J414" s="102"/>
      <c r="K414" s="102"/>
      <c r="L414" s="101"/>
    </row>
    <row r="415" spans="1:12" ht="16">
      <c r="A415" s="2"/>
      <c r="B415" s="7"/>
      <c r="C415" s="17"/>
      <c r="D415" s="55"/>
      <c r="E415" s="108"/>
      <c r="F415" s="102"/>
      <c r="G415" s="102"/>
      <c r="H415" s="102"/>
      <c r="I415" s="102"/>
      <c r="J415" s="102"/>
      <c r="K415" s="102"/>
      <c r="L415" s="101"/>
    </row>
    <row r="416" spans="1:12" ht="16">
      <c r="A416" s="2"/>
      <c r="B416" s="7"/>
      <c r="C416" s="17"/>
      <c r="D416" s="55"/>
      <c r="E416" s="108"/>
      <c r="F416" s="102"/>
      <c r="G416" s="102"/>
      <c r="H416" s="102"/>
      <c r="I416" s="102"/>
      <c r="J416" s="102"/>
      <c r="K416" s="102"/>
      <c r="L416" s="101"/>
    </row>
    <row r="417" spans="1:12" ht="16">
      <c r="A417" s="2"/>
      <c r="B417" s="7"/>
      <c r="C417" s="17"/>
      <c r="D417" s="55"/>
      <c r="E417" s="108"/>
      <c r="F417" s="102"/>
      <c r="G417" s="102"/>
      <c r="H417" s="102"/>
      <c r="I417" s="102"/>
      <c r="J417" s="102"/>
      <c r="K417" s="102"/>
      <c r="L417" s="101"/>
    </row>
    <row r="418" spans="1:12" ht="16">
      <c r="A418" s="2"/>
      <c r="B418" s="7"/>
      <c r="C418" s="17"/>
      <c r="D418" s="55"/>
      <c r="E418" s="108"/>
      <c r="F418" s="102"/>
      <c r="G418" s="102"/>
      <c r="H418" s="102"/>
      <c r="I418" s="102"/>
      <c r="J418" s="102"/>
      <c r="K418" s="102"/>
      <c r="L418" s="101"/>
    </row>
    <row r="419" spans="1:12" ht="16">
      <c r="A419" s="2"/>
      <c r="B419" s="7"/>
      <c r="C419" s="17"/>
      <c r="D419" s="55"/>
      <c r="E419" s="108"/>
      <c r="F419" s="102"/>
      <c r="G419" s="102"/>
      <c r="H419" s="102"/>
      <c r="I419" s="102"/>
      <c r="J419" s="102"/>
      <c r="K419" s="102"/>
      <c r="L419" s="101"/>
    </row>
    <row r="420" spans="1:12" ht="16">
      <c r="A420" s="2"/>
      <c r="B420" s="7"/>
      <c r="C420" s="17"/>
      <c r="D420" s="55"/>
      <c r="E420" s="108"/>
      <c r="F420" s="102"/>
      <c r="G420" s="102"/>
      <c r="H420" s="102"/>
      <c r="I420" s="102"/>
      <c r="J420" s="102"/>
      <c r="K420" s="102"/>
      <c r="L420" s="101"/>
    </row>
    <row r="421" spans="1:12" ht="16">
      <c r="A421" s="2"/>
      <c r="B421" s="7"/>
      <c r="C421" s="17"/>
      <c r="D421" s="55"/>
      <c r="E421" s="108"/>
      <c r="F421" s="102"/>
      <c r="G421" s="102"/>
      <c r="H421" s="102"/>
      <c r="I421" s="102"/>
      <c r="J421" s="102"/>
      <c r="K421" s="102"/>
      <c r="L421" s="101"/>
    </row>
    <row r="422" spans="1:12" ht="16">
      <c r="A422" s="2"/>
      <c r="B422" s="7"/>
      <c r="C422" s="17"/>
      <c r="D422" s="55"/>
      <c r="E422" s="108"/>
      <c r="F422" s="102"/>
      <c r="G422" s="102"/>
      <c r="H422" s="102"/>
      <c r="I422" s="102"/>
      <c r="J422" s="102"/>
      <c r="K422" s="102"/>
      <c r="L422" s="101"/>
    </row>
    <row r="423" spans="1:12" ht="16">
      <c r="A423" s="2"/>
      <c r="B423" s="7"/>
      <c r="C423" s="17"/>
      <c r="D423" s="55"/>
      <c r="E423" s="108"/>
      <c r="F423" s="102"/>
      <c r="G423" s="102"/>
      <c r="H423" s="102"/>
      <c r="I423" s="102"/>
      <c r="J423" s="102"/>
      <c r="K423" s="102"/>
      <c r="L423" s="101"/>
    </row>
    <row r="424" spans="1:12" ht="16">
      <c r="A424" s="2"/>
      <c r="B424" s="7"/>
      <c r="C424" s="17"/>
      <c r="D424" s="55"/>
      <c r="E424" s="108"/>
      <c r="F424" s="102"/>
      <c r="G424" s="102"/>
      <c r="H424" s="102"/>
      <c r="I424" s="102"/>
      <c r="J424" s="102"/>
      <c r="K424" s="102"/>
      <c r="L424" s="101"/>
    </row>
    <row r="425" spans="1:12" ht="16">
      <c r="A425" s="2"/>
      <c r="B425" s="7"/>
      <c r="C425" s="17"/>
      <c r="D425" s="55"/>
      <c r="E425" s="108"/>
      <c r="F425" s="102"/>
      <c r="G425" s="102"/>
      <c r="H425" s="102"/>
      <c r="I425" s="102"/>
      <c r="J425" s="102"/>
      <c r="K425" s="102"/>
      <c r="L425" s="101"/>
    </row>
    <row r="426" spans="1:12" ht="16">
      <c r="A426" s="2"/>
      <c r="B426" s="7"/>
      <c r="C426" s="17"/>
      <c r="D426" s="55"/>
      <c r="E426" s="108"/>
      <c r="F426" s="102"/>
      <c r="G426" s="102"/>
      <c r="H426" s="102"/>
      <c r="I426" s="102"/>
      <c r="J426" s="102"/>
      <c r="K426" s="102"/>
      <c r="L426" s="101"/>
    </row>
    <row r="427" spans="1:12" ht="16">
      <c r="A427" s="2"/>
      <c r="B427" s="7"/>
      <c r="C427" s="17"/>
      <c r="D427" s="55"/>
      <c r="E427" s="108"/>
      <c r="F427" s="102"/>
      <c r="G427" s="102"/>
      <c r="H427" s="102"/>
      <c r="I427" s="102"/>
      <c r="J427" s="102"/>
      <c r="K427" s="102"/>
      <c r="L427" s="101"/>
    </row>
    <row r="428" spans="1:12" ht="16">
      <c r="A428" s="2"/>
      <c r="B428" s="7"/>
      <c r="C428" s="17"/>
      <c r="D428" s="55"/>
      <c r="E428" s="108"/>
      <c r="F428" s="102"/>
      <c r="G428" s="102"/>
      <c r="H428" s="102"/>
      <c r="I428" s="102"/>
      <c r="J428" s="102"/>
      <c r="K428" s="102"/>
      <c r="L428" s="101"/>
    </row>
    <row r="429" spans="1:12" ht="16">
      <c r="A429" s="2"/>
      <c r="B429" s="7"/>
      <c r="C429" s="17"/>
      <c r="D429" s="55"/>
      <c r="E429" s="108"/>
      <c r="F429" s="102"/>
      <c r="G429" s="102"/>
      <c r="H429" s="102"/>
      <c r="I429" s="102"/>
      <c r="J429" s="102"/>
      <c r="K429" s="102"/>
      <c r="L429" s="101"/>
    </row>
    <row r="430" spans="1:12" ht="16">
      <c r="A430" s="2"/>
      <c r="B430" s="7"/>
      <c r="C430" s="17"/>
      <c r="D430" s="55"/>
      <c r="E430" s="108"/>
      <c r="F430" s="102"/>
      <c r="G430" s="102"/>
      <c r="H430" s="102"/>
      <c r="I430" s="102"/>
      <c r="J430" s="102"/>
      <c r="K430" s="102"/>
      <c r="L430" s="101"/>
    </row>
    <row r="431" spans="1:12" ht="16">
      <c r="A431" s="2"/>
      <c r="B431" s="7"/>
      <c r="C431" s="17"/>
      <c r="D431" s="55"/>
      <c r="E431" s="108"/>
      <c r="F431" s="102"/>
      <c r="G431" s="102"/>
      <c r="H431" s="102"/>
      <c r="I431" s="102"/>
      <c r="J431" s="102"/>
      <c r="K431" s="102"/>
      <c r="L431" s="101"/>
    </row>
    <row r="432" spans="1:12" ht="16">
      <c r="A432" s="2"/>
      <c r="B432" s="7"/>
      <c r="C432" s="17"/>
      <c r="D432" s="55"/>
      <c r="E432" s="108"/>
      <c r="F432" s="102"/>
      <c r="G432" s="102"/>
      <c r="H432" s="102"/>
      <c r="I432" s="102"/>
      <c r="J432" s="102"/>
      <c r="K432" s="102"/>
      <c r="L432" s="101"/>
    </row>
    <row r="433" spans="1:12" ht="16">
      <c r="A433" s="2"/>
      <c r="B433" s="7"/>
      <c r="C433" s="17"/>
      <c r="D433" s="55"/>
      <c r="E433" s="108"/>
      <c r="F433" s="102"/>
      <c r="G433" s="102"/>
      <c r="H433" s="102"/>
      <c r="I433" s="102"/>
      <c r="J433" s="102"/>
      <c r="K433" s="102"/>
      <c r="L433" s="101"/>
    </row>
    <row r="434" spans="1:12" ht="16">
      <c r="A434" s="2"/>
      <c r="B434" s="7"/>
      <c r="C434" s="17"/>
      <c r="D434" s="55"/>
      <c r="E434" s="108"/>
      <c r="F434" s="102"/>
      <c r="G434" s="102"/>
      <c r="H434" s="102"/>
      <c r="I434" s="102"/>
      <c r="J434" s="102"/>
      <c r="K434" s="102"/>
      <c r="L434" s="101"/>
    </row>
    <row r="435" spans="1:12" ht="16">
      <c r="A435" s="2"/>
      <c r="B435" s="7"/>
      <c r="C435" s="17"/>
      <c r="D435" s="55"/>
      <c r="E435" s="108"/>
      <c r="F435" s="102"/>
      <c r="G435" s="102"/>
      <c r="H435" s="102"/>
      <c r="I435" s="102"/>
      <c r="J435" s="102"/>
      <c r="K435" s="102"/>
      <c r="L435" s="101"/>
    </row>
    <row r="436" spans="1:12" ht="16">
      <c r="A436" s="2"/>
      <c r="B436" s="7"/>
      <c r="C436" s="17"/>
      <c r="D436" s="55"/>
      <c r="E436" s="108"/>
      <c r="F436" s="102"/>
      <c r="G436" s="102"/>
      <c r="H436" s="102"/>
      <c r="I436" s="102"/>
      <c r="J436" s="102"/>
      <c r="K436" s="102"/>
      <c r="L436" s="101"/>
    </row>
    <row r="437" spans="1:12" ht="16">
      <c r="A437" s="2"/>
      <c r="B437" s="7"/>
      <c r="C437" s="17"/>
      <c r="D437" s="55"/>
      <c r="E437" s="108"/>
      <c r="F437" s="102"/>
      <c r="G437" s="102"/>
      <c r="H437" s="102"/>
      <c r="I437" s="102"/>
      <c r="J437" s="102"/>
      <c r="K437" s="102"/>
      <c r="L437" s="101"/>
    </row>
    <row r="438" spans="1:12" ht="16">
      <c r="A438" s="2"/>
      <c r="B438" s="7"/>
      <c r="C438" s="17"/>
      <c r="D438" s="55"/>
      <c r="E438" s="108"/>
      <c r="F438" s="102"/>
      <c r="G438" s="102"/>
      <c r="H438" s="102"/>
      <c r="I438" s="102"/>
      <c r="J438" s="102"/>
      <c r="K438" s="102"/>
      <c r="L438" s="101"/>
    </row>
    <row r="439" spans="1:12" ht="16">
      <c r="A439" s="2"/>
      <c r="B439" s="7"/>
      <c r="C439" s="17"/>
      <c r="D439" s="55"/>
      <c r="E439" s="108"/>
      <c r="F439" s="102"/>
      <c r="G439" s="102"/>
      <c r="H439" s="102"/>
      <c r="I439" s="102"/>
      <c r="J439" s="102"/>
      <c r="K439" s="102"/>
      <c r="L439" s="101"/>
    </row>
    <row r="440" spans="1:12" ht="16">
      <c r="A440" s="2"/>
      <c r="B440" s="7"/>
      <c r="C440" s="17"/>
      <c r="D440" s="55"/>
      <c r="E440" s="108"/>
      <c r="F440" s="102"/>
      <c r="G440" s="102"/>
      <c r="H440" s="102"/>
      <c r="I440" s="102"/>
      <c r="J440" s="102"/>
      <c r="K440" s="102"/>
      <c r="L440" s="101"/>
    </row>
    <row r="441" spans="1:12" ht="16">
      <c r="A441" s="2"/>
      <c r="B441" s="7"/>
      <c r="C441" s="17"/>
      <c r="D441" s="55"/>
      <c r="E441" s="108"/>
      <c r="F441" s="102"/>
      <c r="G441" s="102"/>
      <c r="H441" s="102"/>
      <c r="I441" s="102"/>
      <c r="J441" s="102"/>
      <c r="K441" s="102"/>
      <c r="L441" s="101"/>
    </row>
    <row r="442" spans="1:12" ht="16">
      <c r="A442" s="2"/>
      <c r="B442" s="7"/>
      <c r="C442" s="17"/>
      <c r="D442" s="55"/>
      <c r="E442" s="108"/>
      <c r="F442" s="102"/>
      <c r="G442" s="102"/>
      <c r="H442" s="102"/>
      <c r="I442" s="102"/>
      <c r="J442" s="102"/>
      <c r="K442" s="102"/>
      <c r="L442" s="101"/>
    </row>
    <row r="443" spans="1:12" ht="16">
      <c r="A443" s="2"/>
      <c r="B443" s="7"/>
      <c r="C443" s="17"/>
      <c r="D443" s="55"/>
      <c r="E443" s="108"/>
      <c r="F443" s="102"/>
      <c r="G443" s="102"/>
      <c r="H443" s="102"/>
      <c r="I443" s="102"/>
      <c r="J443" s="102"/>
      <c r="K443" s="102"/>
      <c r="L443" s="101"/>
    </row>
    <row r="444" spans="1:12" ht="16">
      <c r="A444" s="2"/>
      <c r="B444" s="7"/>
      <c r="C444" s="17"/>
      <c r="D444" s="55"/>
      <c r="E444" s="108"/>
      <c r="F444" s="102"/>
      <c r="G444" s="102"/>
      <c r="H444" s="102"/>
      <c r="I444" s="102"/>
      <c r="J444" s="102"/>
      <c r="K444" s="102"/>
      <c r="L444" s="101"/>
    </row>
    <row r="445" spans="1:12" ht="16">
      <c r="A445" s="2"/>
      <c r="B445" s="7"/>
      <c r="C445" s="17"/>
      <c r="D445" s="55"/>
      <c r="E445" s="108"/>
      <c r="F445" s="102"/>
      <c r="G445" s="102"/>
      <c r="H445" s="102"/>
      <c r="I445" s="102"/>
      <c r="J445" s="102"/>
      <c r="K445" s="102"/>
      <c r="L445" s="101"/>
    </row>
    <row r="446" spans="1:12" ht="16">
      <c r="A446" s="2"/>
      <c r="B446" s="7"/>
      <c r="C446" s="17"/>
      <c r="D446" s="55"/>
      <c r="E446" s="108"/>
      <c r="F446" s="102"/>
      <c r="G446" s="102"/>
      <c r="H446" s="102"/>
      <c r="I446" s="102"/>
      <c r="J446" s="102"/>
      <c r="K446" s="102"/>
      <c r="L446" s="101"/>
    </row>
    <row r="447" spans="1:12" ht="16">
      <c r="A447" s="2"/>
      <c r="B447" s="7"/>
      <c r="C447" s="17"/>
      <c r="D447" s="55"/>
      <c r="E447" s="108"/>
      <c r="F447" s="102"/>
      <c r="G447" s="102"/>
      <c r="H447" s="102"/>
      <c r="I447" s="102"/>
      <c r="J447" s="102"/>
      <c r="K447" s="102"/>
      <c r="L447" s="101"/>
    </row>
    <row r="448" spans="1:12" ht="16">
      <c r="A448" s="2"/>
      <c r="B448" s="7"/>
      <c r="C448" s="17"/>
      <c r="D448" s="55"/>
      <c r="E448" s="108"/>
      <c r="F448" s="102"/>
      <c r="G448" s="102"/>
      <c r="H448" s="102"/>
      <c r="I448" s="102"/>
      <c r="J448" s="102"/>
      <c r="K448" s="102"/>
      <c r="L448" s="101"/>
    </row>
    <row r="449" spans="1:12" ht="16">
      <c r="A449" s="2"/>
      <c r="B449" s="7"/>
      <c r="C449" s="17"/>
      <c r="D449" s="55"/>
      <c r="E449" s="108"/>
      <c r="F449" s="102"/>
      <c r="G449" s="102"/>
      <c r="H449" s="102"/>
      <c r="I449" s="102"/>
      <c r="J449" s="102"/>
      <c r="K449" s="102"/>
      <c r="L449" s="101"/>
    </row>
    <row r="450" spans="1:12" ht="16">
      <c r="A450" s="2"/>
      <c r="B450" s="7"/>
      <c r="C450" s="17"/>
      <c r="D450" s="55"/>
      <c r="E450" s="108"/>
      <c r="F450" s="102"/>
      <c r="G450" s="102"/>
      <c r="H450" s="102"/>
      <c r="I450" s="102"/>
      <c r="J450" s="102"/>
      <c r="K450" s="102"/>
      <c r="L450" s="101"/>
    </row>
    <row r="451" spans="1:12" ht="16">
      <c r="A451" s="2"/>
      <c r="B451" s="7"/>
      <c r="C451" s="17"/>
      <c r="D451" s="55"/>
      <c r="E451" s="108"/>
      <c r="F451" s="102"/>
      <c r="G451" s="102"/>
      <c r="H451" s="102"/>
      <c r="I451" s="102"/>
      <c r="J451" s="102"/>
      <c r="K451" s="102"/>
      <c r="L451" s="101"/>
    </row>
    <row r="452" spans="1:12" ht="16">
      <c r="A452" s="2"/>
      <c r="B452" s="7"/>
      <c r="C452" s="17"/>
      <c r="D452" s="55"/>
      <c r="E452" s="108"/>
      <c r="F452" s="102"/>
      <c r="G452" s="102"/>
      <c r="H452" s="102"/>
      <c r="I452" s="102"/>
      <c r="J452" s="102"/>
      <c r="K452" s="102"/>
      <c r="L452" s="101"/>
    </row>
    <row r="453" spans="1:12" ht="16">
      <c r="A453" s="2"/>
      <c r="B453" s="7"/>
      <c r="C453" s="17"/>
      <c r="D453" s="55"/>
      <c r="E453" s="108"/>
      <c r="F453" s="102"/>
      <c r="G453" s="102"/>
      <c r="H453" s="102"/>
      <c r="I453" s="102"/>
      <c r="J453" s="102"/>
      <c r="K453" s="102"/>
      <c r="L453" s="101"/>
    </row>
    <row r="454" spans="1:12" ht="16">
      <c r="A454" s="2"/>
      <c r="B454" s="7"/>
      <c r="C454" s="17"/>
      <c r="D454" s="55"/>
      <c r="E454" s="108"/>
      <c r="F454" s="102"/>
      <c r="G454" s="102"/>
      <c r="H454" s="102"/>
      <c r="I454" s="102"/>
      <c r="J454" s="102"/>
      <c r="K454" s="102"/>
      <c r="L454" s="101"/>
    </row>
    <row r="455" spans="1:12" ht="16">
      <c r="A455" s="2"/>
      <c r="B455" s="7"/>
      <c r="C455" s="17"/>
      <c r="D455" s="55"/>
      <c r="E455" s="108"/>
      <c r="F455" s="102"/>
      <c r="G455" s="102"/>
      <c r="H455" s="102"/>
      <c r="I455" s="102"/>
      <c r="J455" s="102"/>
      <c r="K455" s="102"/>
      <c r="L455" s="101"/>
    </row>
    <row r="456" spans="1:12" ht="16">
      <c r="A456" s="2"/>
      <c r="B456" s="7"/>
      <c r="C456" s="17"/>
      <c r="D456" s="55"/>
      <c r="E456" s="108"/>
      <c r="F456" s="102"/>
      <c r="G456" s="102"/>
      <c r="H456" s="102"/>
      <c r="I456" s="102"/>
      <c r="J456" s="102"/>
      <c r="K456" s="102"/>
      <c r="L456" s="101"/>
    </row>
    <row r="457" spans="1:12" ht="16">
      <c r="A457" s="2"/>
      <c r="B457" s="7"/>
      <c r="C457" s="17"/>
      <c r="D457" s="55"/>
      <c r="E457" s="108"/>
      <c r="F457" s="102"/>
      <c r="G457" s="102"/>
      <c r="H457" s="102"/>
      <c r="I457" s="102"/>
      <c r="J457" s="102"/>
      <c r="K457" s="102"/>
      <c r="L457" s="101"/>
    </row>
    <row r="458" spans="1:12" ht="16">
      <c r="A458" s="2"/>
      <c r="B458" s="7"/>
      <c r="C458" s="17"/>
      <c r="D458" s="55"/>
      <c r="E458" s="108"/>
      <c r="F458" s="102"/>
      <c r="G458" s="102"/>
      <c r="H458" s="102"/>
      <c r="I458" s="102"/>
      <c r="J458" s="102"/>
      <c r="K458" s="102"/>
      <c r="L458" s="101"/>
    </row>
    <row r="459" spans="1:12" ht="16">
      <c r="A459" s="2"/>
      <c r="B459" s="7"/>
      <c r="C459" s="17"/>
      <c r="D459" s="55"/>
      <c r="E459" s="108"/>
      <c r="F459" s="102"/>
      <c r="G459" s="102"/>
      <c r="H459" s="102"/>
      <c r="I459" s="102"/>
      <c r="J459" s="102"/>
      <c r="K459" s="102"/>
      <c r="L459" s="101"/>
    </row>
    <row r="460" spans="1:12" ht="16">
      <c r="A460" s="2"/>
      <c r="B460" s="7"/>
      <c r="C460" s="17"/>
      <c r="D460" s="55"/>
      <c r="E460" s="108"/>
      <c r="F460" s="102"/>
      <c r="G460" s="102"/>
      <c r="H460" s="102"/>
      <c r="I460" s="102"/>
      <c r="J460" s="102"/>
      <c r="K460" s="102"/>
      <c r="L460" s="101"/>
    </row>
    <row r="461" spans="1:12" ht="16">
      <c r="A461" s="2"/>
      <c r="B461" s="7"/>
      <c r="C461" s="17"/>
      <c r="D461" s="55"/>
      <c r="E461" s="108"/>
      <c r="F461" s="102"/>
      <c r="G461" s="102"/>
      <c r="H461" s="102"/>
      <c r="I461" s="102"/>
      <c r="J461" s="102"/>
      <c r="K461" s="102"/>
      <c r="L461" s="101"/>
    </row>
    <row r="462" spans="1:12" ht="16">
      <c r="A462" s="2"/>
      <c r="B462" s="7"/>
      <c r="C462" s="17"/>
      <c r="D462" s="55"/>
      <c r="E462" s="108"/>
      <c r="F462" s="102"/>
      <c r="G462" s="102"/>
      <c r="H462" s="102"/>
      <c r="I462" s="102"/>
      <c r="J462" s="102"/>
      <c r="K462" s="102"/>
      <c r="L462" s="101"/>
    </row>
    <row r="463" spans="1:12" ht="16">
      <c r="A463" s="2"/>
      <c r="B463" s="7"/>
      <c r="C463" s="17"/>
      <c r="D463" s="55"/>
      <c r="E463" s="108"/>
      <c r="F463" s="102"/>
      <c r="G463" s="102"/>
      <c r="H463" s="102"/>
      <c r="I463" s="102"/>
      <c r="J463" s="102"/>
      <c r="K463" s="102"/>
      <c r="L463" s="101"/>
    </row>
    <row r="464" spans="1:12" ht="16">
      <c r="A464" s="2"/>
      <c r="B464" s="7"/>
      <c r="C464" s="17"/>
      <c r="D464" s="55"/>
      <c r="E464" s="108"/>
      <c r="F464" s="102"/>
      <c r="G464" s="102"/>
      <c r="H464" s="102"/>
      <c r="I464" s="102"/>
      <c r="J464" s="102"/>
      <c r="K464" s="102"/>
      <c r="L464" s="101"/>
    </row>
    <row r="465" spans="1:12" ht="16">
      <c r="A465" s="2"/>
      <c r="B465" s="7"/>
      <c r="C465" s="17"/>
      <c r="D465" s="55"/>
      <c r="E465" s="108"/>
      <c r="F465" s="102"/>
      <c r="G465" s="102"/>
      <c r="H465" s="102"/>
      <c r="I465" s="102"/>
      <c r="J465" s="102"/>
      <c r="K465" s="102"/>
      <c r="L465" s="101"/>
    </row>
    <row r="466" spans="1:12" ht="16">
      <c r="A466" s="2"/>
      <c r="B466" s="7"/>
      <c r="C466" s="17"/>
      <c r="D466" s="55"/>
      <c r="E466" s="108"/>
      <c r="F466" s="102"/>
      <c r="G466" s="102"/>
      <c r="H466" s="102"/>
      <c r="I466" s="102"/>
      <c r="J466" s="102"/>
      <c r="K466" s="102"/>
      <c r="L466" s="101"/>
    </row>
    <row r="467" spans="1:12" ht="16">
      <c r="A467" s="2"/>
      <c r="B467" s="7"/>
      <c r="C467" s="17"/>
      <c r="D467" s="55"/>
      <c r="E467" s="108"/>
      <c r="F467" s="102"/>
      <c r="G467" s="102"/>
      <c r="H467" s="102"/>
      <c r="I467" s="102"/>
      <c r="J467" s="102"/>
      <c r="K467" s="102"/>
      <c r="L467" s="101"/>
    </row>
    <row r="468" spans="1:12" ht="16">
      <c r="A468" s="2"/>
      <c r="B468" s="7"/>
      <c r="C468" s="17"/>
      <c r="D468" s="55"/>
      <c r="E468" s="108"/>
      <c r="F468" s="102"/>
      <c r="G468" s="102"/>
      <c r="H468" s="102"/>
      <c r="I468" s="102"/>
      <c r="J468" s="102"/>
      <c r="K468" s="102"/>
      <c r="L468" s="101"/>
    </row>
    <row r="469" spans="1:12" ht="16">
      <c r="A469" s="2"/>
      <c r="B469" s="7"/>
      <c r="C469" s="17"/>
      <c r="D469" s="55"/>
      <c r="E469" s="108"/>
      <c r="F469" s="102"/>
      <c r="G469" s="102"/>
      <c r="H469" s="102"/>
      <c r="I469" s="102"/>
      <c r="J469" s="102"/>
      <c r="K469" s="102"/>
      <c r="L469" s="101"/>
    </row>
    <row r="470" spans="1:12" ht="16">
      <c r="A470" s="2"/>
      <c r="B470" s="7"/>
      <c r="C470" s="17"/>
      <c r="D470" s="55"/>
      <c r="E470" s="108"/>
      <c r="F470" s="102"/>
      <c r="G470" s="102"/>
      <c r="H470" s="102"/>
      <c r="I470" s="102"/>
      <c r="J470" s="102"/>
      <c r="K470" s="102"/>
      <c r="L470" s="101"/>
    </row>
    <row r="471" spans="1:12" ht="16">
      <c r="A471" s="2"/>
      <c r="B471" s="7"/>
      <c r="C471" s="17"/>
      <c r="D471" s="55"/>
      <c r="E471" s="108"/>
      <c r="F471" s="102"/>
      <c r="G471" s="102"/>
      <c r="H471" s="102"/>
      <c r="I471" s="102"/>
      <c r="J471" s="102"/>
      <c r="K471" s="102"/>
      <c r="L471" s="101"/>
    </row>
    <row r="472" spans="1:12" ht="16">
      <c r="A472" s="2"/>
      <c r="B472" s="7"/>
      <c r="C472" s="17"/>
      <c r="D472" s="55"/>
      <c r="E472" s="108"/>
      <c r="F472" s="102"/>
      <c r="G472" s="102"/>
      <c r="H472" s="102"/>
      <c r="I472" s="102"/>
      <c r="J472" s="102"/>
      <c r="K472" s="102"/>
      <c r="L472" s="101"/>
    </row>
    <row r="473" spans="1:12" ht="16">
      <c r="A473" s="2"/>
      <c r="B473" s="7"/>
      <c r="C473" s="17"/>
      <c r="D473" s="55"/>
      <c r="E473" s="108"/>
      <c r="F473" s="102"/>
      <c r="G473" s="102"/>
      <c r="H473" s="102"/>
      <c r="I473" s="102"/>
      <c r="J473" s="102"/>
      <c r="K473" s="102"/>
      <c r="L473" s="101"/>
    </row>
    <row r="474" spans="1:12" ht="16">
      <c r="A474" s="2"/>
      <c r="B474" s="7"/>
      <c r="C474" s="17"/>
      <c r="D474" s="55"/>
      <c r="E474" s="108"/>
      <c r="F474" s="102"/>
      <c r="G474" s="102"/>
      <c r="H474" s="102"/>
      <c r="I474" s="102"/>
      <c r="J474" s="102"/>
      <c r="K474" s="102"/>
      <c r="L474" s="101"/>
    </row>
    <row r="475" spans="1:12" ht="16">
      <c r="A475" s="2"/>
      <c r="B475" s="7"/>
      <c r="C475" s="17"/>
      <c r="D475" s="55"/>
      <c r="E475" s="108"/>
      <c r="F475" s="102"/>
      <c r="G475" s="102"/>
      <c r="H475" s="102"/>
      <c r="I475" s="102"/>
      <c r="J475" s="102"/>
      <c r="K475" s="102"/>
      <c r="L475" s="101"/>
    </row>
    <row r="476" spans="1:12" ht="16">
      <c r="A476" s="2"/>
      <c r="B476" s="7"/>
      <c r="C476" s="17"/>
      <c r="D476" s="55"/>
      <c r="E476" s="108"/>
      <c r="F476" s="102"/>
      <c r="G476" s="102"/>
      <c r="H476" s="102"/>
      <c r="I476" s="102"/>
      <c r="J476" s="102"/>
      <c r="K476" s="102"/>
      <c r="L476" s="101"/>
    </row>
    <row r="477" spans="1:12" ht="16">
      <c r="A477" s="2"/>
      <c r="B477" s="7"/>
      <c r="C477" s="17"/>
      <c r="D477" s="55"/>
      <c r="E477" s="108"/>
      <c r="F477" s="102"/>
      <c r="G477" s="102"/>
      <c r="H477" s="102"/>
      <c r="I477" s="102"/>
      <c r="J477" s="102"/>
      <c r="K477" s="102"/>
      <c r="L477" s="101"/>
    </row>
    <row r="478" spans="1:12" ht="16">
      <c r="A478" s="2"/>
      <c r="B478" s="7"/>
      <c r="C478" s="17"/>
      <c r="D478" s="55"/>
      <c r="E478" s="108"/>
      <c r="F478" s="102"/>
      <c r="G478" s="102"/>
      <c r="H478" s="102"/>
      <c r="I478" s="102"/>
      <c r="J478" s="102"/>
      <c r="K478" s="102"/>
      <c r="L478" s="101"/>
    </row>
    <row r="479" spans="1:12" ht="16">
      <c r="A479" s="2"/>
      <c r="B479" s="7"/>
      <c r="C479" s="17"/>
      <c r="D479" s="55"/>
      <c r="E479" s="108"/>
      <c r="F479" s="102"/>
      <c r="G479" s="102"/>
      <c r="H479" s="102"/>
      <c r="I479" s="102"/>
      <c r="J479" s="102"/>
      <c r="K479" s="102"/>
      <c r="L479" s="101"/>
    </row>
    <row r="480" spans="1:12" ht="16">
      <c r="A480" s="2"/>
      <c r="B480" s="7"/>
      <c r="C480" s="17"/>
      <c r="D480" s="55"/>
      <c r="E480" s="108"/>
      <c r="F480" s="102"/>
      <c r="G480" s="102"/>
      <c r="H480" s="102"/>
      <c r="I480" s="102"/>
      <c r="J480" s="102"/>
      <c r="K480" s="102"/>
      <c r="L480" s="101"/>
    </row>
    <row r="481" spans="1:12" ht="16">
      <c r="A481" s="2"/>
      <c r="B481" s="7"/>
      <c r="C481" s="17"/>
      <c r="D481" s="55"/>
      <c r="E481" s="108"/>
      <c r="F481" s="102"/>
      <c r="G481" s="102"/>
      <c r="H481" s="102"/>
      <c r="I481" s="102"/>
      <c r="J481" s="102"/>
      <c r="K481" s="102"/>
      <c r="L481" s="101"/>
    </row>
    <row r="482" spans="1:12" ht="16">
      <c r="A482" s="2"/>
      <c r="B482" s="7"/>
      <c r="C482" s="17"/>
      <c r="D482" s="55"/>
      <c r="E482" s="108"/>
      <c r="F482" s="102"/>
      <c r="G482" s="102"/>
      <c r="H482" s="102"/>
      <c r="I482" s="102"/>
      <c r="J482" s="102"/>
      <c r="K482" s="102"/>
      <c r="L482" s="101"/>
    </row>
    <row r="483" spans="1:12" ht="16">
      <c r="A483" s="2"/>
      <c r="B483" s="7"/>
      <c r="C483" s="17"/>
      <c r="D483" s="55"/>
      <c r="E483" s="108"/>
      <c r="F483" s="102"/>
      <c r="G483" s="102"/>
      <c r="H483" s="102"/>
      <c r="I483" s="102"/>
      <c r="J483" s="102"/>
      <c r="K483" s="102"/>
      <c r="L483" s="101"/>
    </row>
    <row r="484" spans="1:12" ht="16">
      <c r="A484" s="2"/>
      <c r="B484" s="7"/>
      <c r="C484" s="17"/>
      <c r="D484" s="55"/>
      <c r="E484" s="108"/>
      <c r="F484" s="102"/>
      <c r="G484" s="102"/>
      <c r="H484" s="102"/>
      <c r="I484" s="102"/>
      <c r="J484" s="102"/>
      <c r="K484" s="102"/>
      <c r="L484" s="101"/>
    </row>
    <row r="485" spans="1:12" ht="16">
      <c r="A485" s="2"/>
      <c r="B485" s="7"/>
      <c r="C485" s="17"/>
      <c r="D485" s="55"/>
      <c r="E485" s="108"/>
      <c r="F485" s="102"/>
      <c r="G485" s="102"/>
      <c r="H485" s="102"/>
      <c r="I485" s="102"/>
      <c r="J485" s="102"/>
      <c r="K485" s="102"/>
      <c r="L485" s="101"/>
    </row>
    <row r="486" spans="1:12" ht="16">
      <c r="A486" s="2"/>
      <c r="B486" s="7"/>
      <c r="C486" s="17"/>
      <c r="D486" s="55"/>
      <c r="E486" s="108"/>
      <c r="F486" s="102"/>
      <c r="G486" s="102"/>
      <c r="H486" s="102"/>
      <c r="I486" s="102"/>
      <c r="J486" s="102"/>
      <c r="K486" s="102"/>
      <c r="L486" s="101"/>
    </row>
    <row r="487" spans="1:12" ht="16">
      <c r="A487" s="2"/>
      <c r="B487" s="7"/>
      <c r="C487" s="17"/>
      <c r="D487" s="55"/>
      <c r="E487" s="108"/>
      <c r="F487" s="102"/>
      <c r="G487" s="102"/>
      <c r="H487" s="102"/>
      <c r="I487" s="102"/>
      <c r="J487" s="102"/>
      <c r="K487" s="102"/>
      <c r="L487" s="101"/>
    </row>
    <row r="488" spans="1:12" ht="16">
      <c r="A488" s="2"/>
      <c r="B488" s="7"/>
      <c r="C488" s="17"/>
      <c r="D488" s="55"/>
      <c r="E488" s="108"/>
      <c r="F488" s="102"/>
      <c r="G488" s="102"/>
      <c r="H488" s="102"/>
      <c r="I488" s="102"/>
      <c r="J488" s="102"/>
      <c r="K488" s="102"/>
      <c r="L488" s="101"/>
    </row>
    <row r="489" spans="1:12" ht="16">
      <c r="A489" s="2"/>
      <c r="B489" s="7"/>
      <c r="C489" s="17"/>
      <c r="D489" s="55"/>
      <c r="E489" s="108"/>
      <c r="F489" s="102"/>
      <c r="G489" s="102"/>
      <c r="H489" s="102"/>
      <c r="I489" s="102"/>
      <c r="J489" s="102"/>
      <c r="K489" s="102"/>
      <c r="L489" s="101"/>
    </row>
    <row r="490" spans="1:12" ht="16">
      <c r="A490" s="2"/>
      <c r="B490" s="7"/>
      <c r="C490" s="17"/>
      <c r="D490" s="55"/>
      <c r="E490" s="108"/>
      <c r="F490" s="102"/>
      <c r="G490" s="102"/>
      <c r="H490" s="102"/>
      <c r="I490" s="102"/>
      <c r="J490" s="102"/>
      <c r="K490" s="102"/>
      <c r="L490" s="101"/>
    </row>
    <row r="491" spans="1:12" ht="16">
      <c r="A491" s="2"/>
      <c r="B491" s="7"/>
      <c r="C491" s="17"/>
      <c r="D491" s="55"/>
      <c r="E491" s="108"/>
      <c r="F491" s="102"/>
      <c r="G491" s="102"/>
      <c r="H491" s="102"/>
      <c r="I491" s="102"/>
      <c r="J491" s="102"/>
      <c r="K491" s="102"/>
      <c r="L491" s="101"/>
    </row>
    <row r="492" spans="1:12" ht="16">
      <c r="A492" s="2"/>
      <c r="B492" s="7"/>
      <c r="C492" s="17"/>
      <c r="D492" s="55"/>
      <c r="E492" s="108"/>
      <c r="F492" s="102"/>
      <c r="G492" s="102"/>
      <c r="H492" s="102"/>
      <c r="I492" s="102"/>
      <c r="J492" s="102"/>
      <c r="K492" s="102"/>
      <c r="L492" s="101"/>
    </row>
    <row r="493" spans="1:12" ht="16">
      <c r="A493" s="2"/>
      <c r="B493" s="7"/>
      <c r="C493" s="17"/>
      <c r="D493" s="55"/>
      <c r="E493" s="108"/>
      <c r="F493" s="102"/>
      <c r="G493" s="102"/>
      <c r="H493" s="102"/>
      <c r="I493" s="102"/>
      <c r="J493" s="102"/>
      <c r="K493" s="102"/>
      <c r="L493" s="101"/>
    </row>
    <row r="494" spans="1:12" ht="16">
      <c r="A494" s="2"/>
      <c r="B494" s="7"/>
      <c r="C494" s="17"/>
      <c r="D494" s="55"/>
      <c r="E494" s="108"/>
      <c r="F494" s="102"/>
      <c r="G494" s="102"/>
      <c r="H494" s="102"/>
      <c r="I494" s="102"/>
      <c r="J494" s="102"/>
      <c r="K494" s="102"/>
      <c r="L494" s="101"/>
    </row>
    <row r="495" spans="1:12" ht="16">
      <c r="A495" s="2"/>
      <c r="B495" s="7"/>
      <c r="C495" s="17"/>
      <c r="D495" s="55"/>
      <c r="E495" s="108"/>
      <c r="F495" s="102"/>
      <c r="G495" s="102"/>
      <c r="H495" s="102"/>
      <c r="I495" s="102"/>
      <c r="J495" s="102"/>
      <c r="K495" s="102"/>
      <c r="L495" s="101"/>
    </row>
    <row r="496" spans="1:12" ht="16">
      <c r="A496" s="2"/>
      <c r="B496" s="7"/>
      <c r="C496" s="17"/>
      <c r="D496" s="55"/>
      <c r="E496" s="108"/>
      <c r="F496" s="102"/>
      <c r="G496" s="102"/>
      <c r="H496" s="102"/>
      <c r="I496" s="102"/>
      <c r="J496" s="102"/>
      <c r="K496" s="102"/>
      <c r="L496" s="101"/>
    </row>
    <row r="497" spans="1:12" ht="16">
      <c r="A497" s="2"/>
      <c r="B497" s="7"/>
      <c r="C497" s="17"/>
      <c r="D497" s="55"/>
      <c r="E497" s="108"/>
      <c r="F497" s="102"/>
      <c r="G497" s="102"/>
      <c r="H497" s="102"/>
      <c r="I497" s="102"/>
      <c r="J497" s="102"/>
      <c r="K497" s="102"/>
      <c r="L497" s="101"/>
    </row>
    <row r="498" spans="1:12" ht="16">
      <c r="A498" s="2"/>
      <c r="B498" s="7"/>
      <c r="C498" s="17"/>
      <c r="D498" s="55"/>
      <c r="E498" s="108"/>
      <c r="F498" s="102"/>
      <c r="G498" s="102"/>
      <c r="H498" s="102"/>
      <c r="I498" s="102"/>
      <c r="J498" s="102"/>
      <c r="K498" s="102"/>
      <c r="L498" s="101"/>
    </row>
    <row r="499" spans="1:12" ht="16">
      <c r="A499" s="2"/>
      <c r="B499" s="7"/>
      <c r="C499" s="17"/>
      <c r="D499" s="55"/>
      <c r="E499" s="108"/>
      <c r="F499" s="102"/>
      <c r="G499" s="102"/>
      <c r="H499" s="102"/>
      <c r="I499" s="102"/>
      <c r="J499" s="102"/>
      <c r="K499" s="102"/>
      <c r="L499" s="101"/>
    </row>
    <row r="500" spans="1:12" ht="16">
      <c r="A500" s="2"/>
      <c r="B500" s="7"/>
      <c r="C500" s="17"/>
      <c r="D500" s="55"/>
      <c r="E500" s="108"/>
      <c r="F500" s="102"/>
      <c r="G500" s="102"/>
      <c r="H500" s="102"/>
      <c r="I500" s="102"/>
      <c r="J500" s="102"/>
      <c r="K500" s="102"/>
      <c r="L500" s="101"/>
    </row>
    <row r="501" spans="1:12" ht="16">
      <c r="A501" s="2"/>
      <c r="B501" s="7"/>
      <c r="C501" s="17"/>
      <c r="D501" s="55"/>
      <c r="E501" s="108"/>
      <c r="F501" s="102"/>
      <c r="G501" s="102"/>
      <c r="H501" s="102"/>
      <c r="I501" s="102"/>
      <c r="J501" s="102"/>
      <c r="K501" s="102"/>
      <c r="L501" s="101"/>
    </row>
    <row r="502" spans="1:12" ht="16">
      <c r="A502" s="2"/>
      <c r="B502" s="7"/>
      <c r="C502" s="17"/>
      <c r="D502" s="55"/>
      <c r="E502" s="108"/>
      <c r="F502" s="102"/>
      <c r="G502" s="102"/>
      <c r="H502" s="102"/>
      <c r="I502" s="102"/>
      <c r="J502" s="102"/>
      <c r="K502" s="102"/>
      <c r="L502" s="101"/>
    </row>
    <row r="503" spans="1:12" ht="16">
      <c r="A503" s="2"/>
      <c r="B503" s="7"/>
      <c r="C503" s="17"/>
      <c r="D503" s="55"/>
      <c r="E503" s="108"/>
      <c r="F503" s="102"/>
      <c r="G503" s="102"/>
      <c r="H503" s="102"/>
      <c r="I503" s="102"/>
      <c r="J503" s="102"/>
      <c r="K503" s="102"/>
      <c r="L503" s="101"/>
    </row>
    <row r="504" spans="1:12" ht="16">
      <c r="A504" s="2"/>
      <c r="B504" s="7"/>
      <c r="C504" s="17"/>
      <c r="D504" s="55"/>
      <c r="E504" s="108"/>
      <c r="F504" s="102"/>
      <c r="G504" s="102"/>
      <c r="H504" s="102"/>
      <c r="I504" s="102"/>
      <c r="J504" s="102"/>
      <c r="K504" s="102"/>
      <c r="L504" s="101"/>
    </row>
    <row r="505" spans="1:12" ht="16">
      <c r="A505" s="2"/>
      <c r="B505" s="7"/>
      <c r="C505" s="17"/>
      <c r="D505" s="55"/>
      <c r="E505" s="108"/>
      <c r="F505" s="102"/>
      <c r="G505" s="102"/>
      <c r="H505" s="102"/>
      <c r="I505" s="102"/>
      <c r="J505" s="102"/>
      <c r="K505" s="102"/>
      <c r="L505" s="101"/>
    </row>
    <row r="506" spans="1:12" ht="16">
      <c r="A506" s="2"/>
      <c r="B506" s="7"/>
      <c r="C506" s="17"/>
      <c r="D506" s="55"/>
      <c r="E506" s="108"/>
      <c r="F506" s="102"/>
      <c r="G506" s="102"/>
      <c r="H506" s="102"/>
      <c r="I506" s="102"/>
      <c r="J506" s="102"/>
      <c r="K506" s="102"/>
      <c r="L506" s="101"/>
    </row>
    <row r="507" spans="1:12" ht="16">
      <c r="A507" s="2"/>
      <c r="B507" s="7"/>
      <c r="C507" s="17"/>
      <c r="D507" s="55"/>
      <c r="E507" s="108"/>
      <c r="F507" s="102"/>
      <c r="G507" s="102"/>
      <c r="H507" s="102"/>
      <c r="I507" s="102"/>
      <c r="J507" s="102"/>
      <c r="K507" s="102"/>
      <c r="L507" s="101"/>
    </row>
    <row r="508" spans="1:12" ht="16">
      <c r="A508" s="2"/>
      <c r="B508" s="7"/>
      <c r="C508" s="17"/>
      <c r="D508" s="55"/>
      <c r="E508" s="108"/>
      <c r="F508" s="102"/>
      <c r="G508" s="102"/>
      <c r="H508" s="102"/>
      <c r="I508" s="102"/>
      <c r="J508" s="102"/>
      <c r="K508" s="102"/>
      <c r="L508" s="101"/>
    </row>
    <row r="509" spans="1:12" ht="16">
      <c r="A509" s="2"/>
      <c r="B509" s="7"/>
      <c r="C509" s="17"/>
      <c r="D509" s="55"/>
      <c r="E509" s="108"/>
      <c r="F509" s="102"/>
      <c r="G509" s="102"/>
      <c r="H509" s="102"/>
      <c r="I509" s="102"/>
      <c r="J509" s="102"/>
      <c r="K509" s="102"/>
      <c r="L509" s="101"/>
    </row>
    <row r="510" spans="1:12" ht="16">
      <c r="A510" s="2"/>
      <c r="B510" s="7"/>
      <c r="C510" s="17"/>
      <c r="D510" s="55"/>
      <c r="E510" s="108"/>
      <c r="F510" s="102"/>
      <c r="G510" s="102"/>
      <c r="H510" s="102"/>
      <c r="I510" s="102"/>
      <c r="J510" s="102"/>
      <c r="K510" s="102"/>
      <c r="L510" s="101"/>
    </row>
    <row r="511" spans="1:12" ht="16">
      <c r="A511" s="2"/>
      <c r="B511" s="7"/>
      <c r="C511" s="17"/>
      <c r="D511" s="55"/>
      <c r="E511" s="108"/>
      <c r="F511" s="102"/>
      <c r="G511" s="102"/>
      <c r="H511" s="102"/>
      <c r="I511" s="102"/>
      <c r="J511" s="102"/>
      <c r="K511" s="102"/>
      <c r="L511" s="101"/>
    </row>
    <row r="512" spans="1:12" ht="16">
      <c r="A512" s="2"/>
      <c r="B512" s="7"/>
      <c r="C512" s="17"/>
      <c r="D512" s="55"/>
      <c r="E512" s="108"/>
      <c r="F512" s="102"/>
      <c r="G512" s="102"/>
      <c r="H512" s="102"/>
      <c r="I512" s="102"/>
      <c r="J512" s="102"/>
      <c r="K512" s="102"/>
      <c r="L512" s="101"/>
    </row>
    <row r="513" spans="1:12" ht="16">
      <c r="A513" s="2"/>
      <c r="B513" s="7"/>
      <c r="C513" s="17"/>
      <c r="D513" s="55"/>
      <c r="E513" s="108"/>
      <c r="F513" s="102"/>
      <c r="G513" s="102"/>
      <c r="H513" s="102"/>
      <c r="I513" s="102"/>
      <c r="J513" s="102"/>
      <c r="K513" s="102"/>
      <c r="L513" s="101"/>
    </row>
    <row r="514" spans="1:12" ht="16">
      <c r="A514" s="2"/>
      <c r="B514" s="7"/>
      <c r="C514" s="17"/>
      <c r="D514" s="55"/>
      <c r="E514" s="108"/>
      <c r="F514" s="102"/>
      <c r="G514" s="102"/>
      <c r="H514" s="102"/>
      <c r="I514" s="102"/>
      <c r="J514" s="102"/>
      <c r="K514" s="102"/>
      <c r="L514" s="101"/>
    </row>
    <row r="515" spans="1:12" ht="16">
      <c r="A515" s="2"/>
      <c r="B515" s="7"/>
      <c r="C515" s="17"/>
      <c r="D515" s="55"/>
      <c r="E515" s="108"/>
      <c r="F515" s="102"/>
      <c r="G515" s="102"/>
      <c r="H515" s="102"/>
      <c r="I515" s="102"/>
      <c r="J515" s="102"/>
      <c r="K515" s="102"/>
      <c r="L515" s="101"/>
    </row>
    <row r="516" spans="1:12" ht="16">
      <c r="A516" s="2"/>
      <c r="B516" s="7"/>
      <c r="C516" s="17"/>
      <c r="D516" s="55"/>
      <c r="E516" s="108"/>
      <c r="F516" s="102"/>
      <c r="G516" s="102"/>
      <c r="H516" s="102"/>
      <c r="I516" s="102"/>
      <c r="J516" s="102"/>
      <c r="K516" s="102"/>
      <c r="L516" s="101"/>
    </row>
    <row r="517" spans="1:12" ht="16">
      <c r="A517" s="2"/>
      <c r="B517" s="7"/>
      <c r="C517" s="17"/>
      <c r="D517" s="55"/>
      <c r="E517" s="108"/>
      <c r="F517" s="102"/>
      <c r="G517" s="102"/>
      <c r="H517" s="102"/>
      <c r="I517" s="102"/>
      <c r="J517" s="102"/>
      <c r="K517" s="102"/>
      <c r="L517" s="101"/>
    </row>
    <row r="518" spans="1:12" ht="16">
      <c r="A518" s="2"/>
      <c r="B518" s="7"/>
      <c r="C518" s="17"/>
      <c r="D518" s="55"/>
      <c r="E518" s="108"/>
      <c r="F518" s="102"/>
      <c r="G518" s="102"/>
      <c r="H518" s="102"/>
      <c r="I518" s="102"/>
      <c r="J518" s="102"/>
      <c r="K518" s="102"/>
      <c r="L518" s="101"/>
    </row>
    <row r="519" spans="1:12" ht="16">
      <c r="A519" s="2"/>
      <c r="B519" s="7"/>
      <c r="C519" s="17"/>
      <c r="D519" s="55"/>
      <c r="E519" s="108"/>
      <c r="F519" s="102"/>
      <c r="G519" s="102"/>
      <c r="H519" s="102"/>
      <c r="I519" s="102"/>
      <c r="J519" s="102"/>
      <c r="K519" s="102"/>
      <c r="L519" s="101"/>
    </row>
    <row r="520" spans="1:12" ht="16">
      <c r="A520" s="2"/>
      <c r="B520" s="7"/>
      <c r="C520" s="17"/>
      <c r="D520" s="55"/>
      <c r="E520" s="108"/>
      <c r="F520" s="102"/>
      <c r="G520" s="102"/>
      <c r="H520" s="102"/>
      <c r="I520" s="102"/>
      <c r="J520" s="102"/>
      <c r="K520" s="102"/>
      <c r="L520" s="101"/>
    </row>
    <row r="521" spans="1:12" ht="16">
      <c r="A521" s="2"/>
      <c r="B521" s="7"/>
      <c r="C521" s="17"/>
      <c r="D521" s="55"/>
      <c r="E521" s="108"/>
      <c r="F521" s="102"/>
      <c r="G521" s="102"/>
      <c r="H521" s="102"/>
      <c r="I521" s="102"/>
      <c r="J521" s="102"/>
      <c r="K521" s="102"/>
      <c r="L521" s="101"/>
    </row>
    <row r="522" spans="1:12" ht="16">
      <c r="A522" s="2"/>
      <c r="B522" s="7"/>
      <c r="C522" s="17"/>
      <c r="D522" s="55"/>
      <c r="E522" s="108"/>
      <c r="F522" s="102"/>
      <c r="G522" s="102"/>
      <c r="H522" s="102"/>
      <c r="I522" s="102"/>
      <c r="J522" s="102"/>
      <c r="K522" s="102"/>
      <c r="L522" s="101"/>
    </row>
    <row r="523" spans="1:12" ht="16">
      <c r="A523" s="2"/>
      <c r="B523" s="7"/>
      <c r="C523" s="17"/>
      <c r="D523" s="55"/>
      <c r="E523" s="108"/>
      <c r="F523" s="102"/>
      <c r="G523" s="102"/>
      <c r="H523" s="102"/>
      <c r="I523" s="102"/>
      <c r="J523" s="102"/>
      <c r="K523" s="102"/>
      <c r="L523" s="101"/>
    </row>
    <row r="524" spans="1:12" ht="16">
      <c r="A524" s="2"/>
      <c r="B524" s="7"/>
      <c r="C524" s="17"/>
      <c r="D524" s="55"/>
      <c r="E524" s="108"/>
      <c r="F524" s="102"/>
      <c r="G524" s="102"/>
      <c r="H524" s="102"/>
      <c r="I524" s="102"/>
      <c r="J524" s="102"/>
      <c r="K524" s="102"/>
      <c r="L524" s="101"/>
    </row>
    <row r="525" spans="1:12" ht="16">
      <c r="A525" s="2"/>
      <c r="B525" s="7"/>
      <c r="C525" s="17"/>
      <c r="D525" s="55"/>
      <c r="E525" s="108"/>
      <c r="F525" s="102"/>
      <c r="G525" s="102"/>
      <c r="H525" s="102"/>
      <c r="I525" s="102"/>
      <c r="J525" s="102"/>
      <c r="K525" s="102"/>
      <c r="L525" s="101"/>
    </row>
    <row r="526" spans="1:12" ht="16">
      <c r="A526" s="2"/>
      <c r="B526" s="7"/>
      <c r="C526" s="17"/>
      <c r="D526" s="55"/>
      <c r="E526" s="108"/>
      <c r="F526" s="102"/>
      <c r="G526" s="102"/>
      <c r="H526" s="102"/>
      <c r="I526" s="102"/>
      <c r="J526" s="102"/>
      <c r="K526" s="102"/>
      <c r="L526" s="101"/>
    </row>
    <row r="527" spans="1:12" ht="16">
      <c r="A527" s="2"/>
      <c r="B527" s="7"/>
      <c r="C527" s="17"/>
      <c r="D527" s="55"/>
      <c r="E527" s="108"/>
      <c r="F527" s="102"/>
      <c r="G527" s="102"/>
      <c r="H527" s="102"/>
      <c r="I527" s="102"/>
      <c r="J527" s="102"/>
      <c r="K527" s="102"/>
      <c r="L527" s="101"/>
    </row>
    <row r="528" spans="1:12" ht="16">
      <c r="A528" s="2"/>
      <c r="B528" s="7"/>
      <c r="C528" s="17"/>
      <c r="D528" s="55"/>
      <c r="E528" s="108"/>
      <c r="F528" s="102"/>
      <c r="G528" s="102"/>
      <c r="H528" s="102"/>
      <c r="I528" s="102"/>
      <c r="J528" s="102"/>
      <c r="K528" s="102"/>
      <c r="L528" s="101"/>
    </row>
    <row r="529" spans="1:12" ht="16">
      <c r="A529" s="2"/>
      <c r="B529" s="7"/>
      <c r="C529" s="17"/>
      <c r="D529" s="55"/>
      <c r="E529" s="108"/>
      <c r="F529" s="102"/>
      <c r="G529" s="102"/>
      <c r="H529" s="102"/>
      <c r="I529" s="102"/>
      <c r="J529" s="102"/>
      <c r="K529" s="102"/>
      <c r="L529" s="101"/>
    </row>
    <row r="530" spans="1:12" ht="16">
      <c r="A530" s="2"/>
      <c r="B530" s="7"/>
      <c r="C530" s="17"/>
      <c r="D530" s="55"/>
      <c r="E530" s="108"/>
      <c r="F530" s="102"/>
      <c r="G530" s="102"/>
      <c r="H530" s="102"/>
      <c r="I530" s="102"/>
      <c r="J530" s="102"/>
      <c r="K530" s="102"/>
      <c r="L530" s="101"/>
    </row>
    <row r="531" spans="1:12" ht="16">
      <c r="A531" s="2"/>
      <c r="B531" s="7"/>
      <c r="C531" s="17"/>
      <c r="D531" s="55"/>
      <c r="E531" s="108"/>
      <c r="F531" s="102"/>
      <c r="G531" s="102"/>
      <c r="H531" s="102"/>
      <c r="I531" s="102"/>
      <c r="J531" s="102"/>
      <c r="K531" s="102"/>
      <c r="L531" s="101"/>
    </row>
    <row r="532" spans="1:12" ht="16">
      <c r="A532" s="2"/>
      <c r="B532" s="7"/>
      <c r="C532" s="17"/>
      <c r="D532" s="55"/>
      <c r="E532" s="108"/>
      <c r="F532" s="102"/>
      <c r="G532" s="102"/>
      <c r="H532" s="102"/>
      <c r="I532" s="102"/>
      <c r="J532" s="102"/>
      <c r="K532" s="102"/>
      <c r="L532" s="101"/>
    </row>
    <row r="533" spans="1:12" ht="16">
      <c r="A533" s="2"/>
      <c r="B533" s="7"/>
      <c r="C533" s="17"/>
      <c r="D533" s="55"/>
      <c r="E533" s="108"/>
      <c r="F533" s="102"/>
      <c r="G533" s="102"/>
      <c r="H533" s="102"/>
      <c r="I533" s="102"/>
      <c r="J533" s="102"/>
      <c r="K533" s="102"/>
      <c r="L533" s="101"/>
    </row>
    <row r="534" spans="1:12" ht="16">
      <c r="A534" s="2"/>
      <c r="B534" s="7"/>
      <c r="C534" s="17"/>
      <c r="D534" s="55"/>
      <c r="E534" s="108"/>
      <c r="F534" s="102"/>
      <c r="G534" s="102"/>
      <c r="H534" s="102"/>
      <c r="I534" s="102"/>
      <c r="J534" s="102"/>
      <c r="K534" s="102"/>
      <c r="L534" s="101"/>
    </row>
    <row r="535" spans="1:12" ht="16">
      <c r="A535" s="2"/>
      <c r="B535" s="7"/>
      <c r="C535" s="17"/>
      <c r="D535" s="55"/>
      <c r="E535" s="108"/>
      <c r="F535" s="102"/>
      <c r="G535" s="102"/>
      <c r="H535" s="102"/>
      <c r="I535" s="102"/>
      <c r="J535" s="102"/>
      <c r="K535" s="102"/>
      <c r="L535" s="101"/>
    </row>
    <row r="536" spans="1:12" ht="16">
      <c r="A536" s="2"/>
      <c r="B536" s="7"/>
      <c r="C536" s="17"/>
      <c r="D536" s="55"/>
      <c r="E536" s="108"/>
      <c r="F536" s="102"/>
      <c r="G536" s="102"/>
      <c r="H536" s="102"/>
      <c r="I536" s="102"/>
      <c r="J536" s="102"/>
      <c r="K536" s="102"/>
      <c r="L536" s="101"/>
    </row>
    <row r="537" spans="1:12" ht="16">
      <c r="A537" s="2"/>
      <c r="B537" s="7"/>
      <c r="C537" s="17"/>
      <c r="D537" s="55"/>
      <c r="E537" s="108"/>
      <c r="F537" s="102"/>
      <c r="G537" s="102"/>
      <c r="H537" s="102"/>
      <c r="I537" s="102"/>
      <c r="J537" s="102"/>
      <c r="K537" s="102"/>
      <c r="L537" s="101"/>
    </row>
    <row r="538" spans="1:12" ht="16">
      <c r="A538" s="2"/>
      <c r="B538" s="7"/>
      <c r="C538" s="17"/>
      <c r="D538" s="55"/>
      <c r="E538" s="108"/>
      <c r="F538" s="102"/>
      <c r="G538" s="102"/>
      <c r="H538" s="102"/>
      <c r="I538" s="102"/>
      <c r="J538" s="102"/>
      <c r="K538" s="102"/>
      <c r="L538" s="101"/>
    </row>
    <row r="539" spans="1:12" ht="16">
      <c r="A539" s="2"/>
      <c r="B539" s="7"/>
      <c r="C539" s="17"/>
      <c r="D539" s="55"/>
      <c r="E539" s="108"/>
      <c r="F539" s="102"/>
      <c r="G539" s="102"/>
      <c r="H539" s="102"/>
      <c r="I539" s="102"/>
      <c r="J539" s="102"/>
      <c r="K539" s="102"/>
      <c r="L539" s="101"/>
    </row>
    <row r="540" spans="1:12" ht="16">
      <c r="A540" s="2"/>
      <c r="B540" s="7"/>
      <c r="C540" s="17"/>
      <c r="D540" s="55"/>
      <c r="E540" s="108"/>
      <c r="F540" s="102"/>
      <c r="G540" s="102"/>
      <c r="H540" s="102"/>
      <c r="I540" s="102"/>
      <c r="J540" s="102"/>
      <c r="K540" s="102"/>
      <c r="L540" s="101"/>
    </row>
    <row r="541" spans="1:12" ht="16">
      <c r="A541" s="2"/>
      <c r="B541" s="7"/>
      <c r="C541" s="17"/>
      <c r="D541" s="55"/>
      <c r="E541" s="108"/>
      <c r="F541" s="102"/>
      <c r="G541" s="102"/>
      <c r="H541" s="102"/>
      <c r="I541" s="102"/>
      <c r="J541" s="102"/>
      <c r="K541" s="102"/>
      <c r="L541" s="101"/>
    </row>
    <row r="542" spans="1:12" ht="16">
      <c r="A542" s="2"/>
      <c r="B542" s="7"/>
      <c r="C542" s="17"/>
      <c r="D542" s="55"/>
      <c r="E542" s="108"/>
      <c r="F542" s="102"/>
      <c r="G542" s="102"/>
      <c r="H542" s="102"/>
      <c r="I542" s="102"/>
      <c r="J542" s="102"/>
      <c r="K542" s="102"/>
      <c r="L542" s="101"/>
    </row>
    <row r="543" spans="1:12" ht="16">
      <c r="A543" s="2"/>
      <c r="B543" s="7"/>
      <c r="C543" s="17"/>
      <c r="D543" s="55"/>
      <c r="E543" s="108"/>
      <c r="F543" s="102"/>
      <c r="G543" s="102"/>
      <c r="H543" s="102"/>
      <c r="I543" s="102"/>
      <c r="J543" s="102"/>
      <c r="K543" s="102"/>
      <c r="L543" s="101"/>
    </row>
    <row r="544" spans="1:12" ht="16">
      <c r="A544" s="2"/>
      <c r="B544" s="7"/>
      <c r="C544" s="17"/>
      <c r="D544" s="55"/>
      <c r="E544" s="108"/>
      <c r="F544" s="102"/>
      <c r="G544" s="102"/>
      <c r="H544" s="102"/>
      <c r="I544" s="102"/>
      <c r="J544" s="102"/>
      <c r="K544" s="102"/>
      <c r="L544" s="101"/>
    </row>
    <row r="545" spans="1:12" ht="16">
      <c r="A545" s="2"/>
      <c r="B545" s="7"/>
      <c r="C545" s="17"/>
      <c r="D545" s="55"/>
      <c r="E545" s="108"/>
      <c r="F545" s="102"/>
      <c r="G545" s="102"/>
      <c r="H545" s="102"/>
      <c r="I545" s="102"/>
      <c r="J545" s="102"/>
      <c r="K545" s="102"/>
      <c r="L545" s="101"/>
    </row>
    <row r="546" spans="1:12" ht="16">
      <c r="A546" s="2"/>
      <c r="B546" s="7"/>
      <c r="C546" s="17"/>
      <c r="D546" s="55"/>
      <c r="E546" s="108"/>
      <c r="F546" s="102"/>
      <c r="G546" s="102"/>
      <c r="H546" s="102"/>
      <c r="I546" s="102"/>
      <c r="J546" s="102"/>
      <c r="K546" s="102"/>
      <c r="L546" s="101"/>
    </row>
    <row r="547" spans="1:12" ht="16">
      <c r="A547" s="2"/>
      <c r="B547" s="7"/>
      <c r="C547" s="17"/>
      <c r="D547" s="55"/>
      <c r="E547" s="108"/>
      <c r="F547" s="102"/>
      <c r="G547" s="102"/>
      <c r="H547" s="102"/>
      <c r="I547" s="102"/>
      <c r="J547" s="102"/>
      <c r="K547" s="102"/>
      <c r="L547" s="101"/>
    </row>
    <row r="548" spans="1:12" ht="16">
      <c r="A548" s="2"/>
      <c r="B548" s="7"/>
      <c r="C548" s="17"/>
      <c r="D548" s="55"/>
      <c r="E548" s="108"/>
      <c r="F548" s="102"/>
      <c r="G548" s="102"/>
      <c r="H548" s="102"/>
      <c r="I548" s="102"/>
      <c r="J548" s="102"/>
      <c r="K548" s="102"/>
      <c r="L548" s="101"/>
    </row>
    <row r="549" spans="1:12" ht="16">
      <c r="A549" s="2"/>
      <c r="B549" s="7"/>
      <c r="C549" s="17"/>
      <c r="D549" s="55"/>
      <c r="E549" s="108"/>
      <c r="F549" s="102"/>
      <c r="G549" s="102"/>
      <c r="H549" s="102"/>
      <c r="I549" s="102"/>
      <c r="J549" s="102"/>
      <c r="K549" s="102"/>
      <c r="L549" s="101"/>
    </row>
    <row r="550" spans="1:12" ht="16">
      <c r="A550" s="2"/>
      <c r="B550" s="7"/>
      <c r="C550" s="17"/>
      <c r="D550" s="55"/>
      <c r="E550" s="108"/>
      <c r="F550" s="102"/>
      <c r="G550" s="102"/>
      <c r="H550" s="102"/>
      <c r="I550" s="102"/>
      <c r="J550" s="102"/>
      <c r="K550" s="102"/>
      <c r="L550" s="101"/>
    </row>
    <row r="551" spans="1:12" ht="16">
      <c r="A551" s="2"/>
      <c r="B551" s="7"/>
      <c r="C551" s="17"/>
      <c r="D551" s="55"/>
      <c r="E551" s="108"/>
      <c r="F551" s="102"/>
      <c r="G551" s="102"/>
      <c r="H551" s="102"/>
      <c r="I551" s="102"/>
      <c r="J551" s="102"/>
      <c r="K551" s="102"/>
      <c r="L551" s="101"/>
    </row>
    <row r="552" spans="1:12" ht="16">
      <c r="A552" s="2"/>
      <c r="B552" s="7"/>
      <c r="C552" s="17"/>
      <c r="D552" s="55"/>
      <c r="E552" s="108"/>
      <c r="F552" s="102"/>
      <c r="G552" s="102"/>
      <c r="H552" s="102"/>
      <c r="I552" s="102"/>
      <c r="J552" s="102"/>
      <c r="K552" s="102"/>
      <c r="L552" s="101"/>
    </row>
    <row r="553" spans="1:12" ht="16">
      <c r="A553" s="2"/>
      <c r="B553" s="7"/>
      <c r="C553" s="17"/>
      <c r="D553" s="55"/>
      <c r="E553" s="108"/>
      <c r="F553" s="102"/>
      <c r="G553" s="102"/>
      <c r="H553" s="102"/>
      <c r="I553" s="102"/>
      <c r="J553" s="102"/>
      <c r="K553" s="102"/>
      <c r="L553" s="101"/>
    </row>
    <row r="554" spans="1:12" ht="16">
      <c r="A554" s="2"/>
      <c r="B554" s="7"/>
      <c r="C554" s="17"/>
      <c r="D554" s="55"/>
      <c r="E554" s="108"/>
      <c r="F554" s="102"/>
      <c r="G554" s="102"/>
      <c r="H554" s="102"/>
      <c r="I554" s="102"/>
      <c r="J554" s="102"/>
      <c r="K554" s="102"/>
      <c r="L554" s="101"/>
    </row>
    <row r="555" spans="1:12" ht="16">
      <c r="A555" s="2"/>
      <c r="B555" s="7"/>
      <c r="C555" s="17"/>
      <c r="D555" s="55"/>
      <c r="E555" s="108"/>
      <c r="F555" s="102"/>
      <c r="G555" s="102"/>
      <c r="H555" s="102"/>
      <c r="I555" s="102"/>
      <c r="J555" s="102"/>
      <c r="K555" s="102"/>
      <c r="L555" s="101"/>
    </row>
    <row r="556" spans="1:12" ht="16">
      <c r="A556" s="2"/>
      <c r="B556" s="7"/>
      <c r="C556" s="17"/>
      <c r="D556" s="55"/>
      <c r="E556" s="108"/>
      <c r="F556" s="102"/>
      <c r="G556" s="102"/>
      <c r="H556" s="102"/>
      <c r="I556" s="102"/>
      <c r="J556" s="102"/>
      <c r="K556" s="102"/>
      <c r="L556" s="101"/>
    </row>
    <row r="557" spans="1:12" ht="16">
      <c r="A557" s="2"/>
      <c r="B557" s="7"/>
      <c r="C557" s="17"/>
      <c r="D557" s="55"/>
      <c r="E557" s="108"/>
      <c r="F557" s="102"/>
      <c r="G557" s="102"/>
      <c r="H557" s="102"/>
      <c r="I557" s="102"/>
      <c r="J557" s="102"/>
      <c r="K557" s="102"/>
      <c r="L557" s="101"/>
    </row>
    <row r="558" spans="1:12" ht="16">
      <c r="A558" s="2"/>
      <c r="B558" s="7"/>
      <c r="C558" s="17"/>
      <c r="D558" s="55"/>
      <c r="E558" s="108"/>
      <c r="F558" s="102"/>
      <c r="G558" s="102"/>
      <c r="H558" s="102"/>
      <c r="I558" s="102"/>
      <c r="J558" s="102"/>
      <c r="K558" s="102"/>
      <c r="L558" s="101"/>
    </row>
    <row r="559" spans="1:12" ht="16">
      <c r="A559" s="2"/>
      <c r="B559" s="7"/>
      <c r="C559" s="17"/>
      <c r="D559" s="55"/>
      <c r="E559" s="108"/>
      <c r="F559" s="102"/>
      <c r="G559" s="102"/>
      <c r="H559" s="102"/>
      <c r="I559" s="102"/>
      <c r="J559" s="102"/>
      <c r="K559" s="102"/>
      <c r="L559" s="101"/>
    </row>
    <row r="560" spans="1:12" ht="16">
      <c r="A560" s="2"/>
      <c r="B560" s="7"/>
      <c r="C560" s="17"/>
      <c r="D560" s="55"/>
      <c r="E560" s="108"/>
      <c r="F560" s="102"/>
      <c r="G560" s="102"/>
      <c r="H560" s="102"/>
      <c r="I560" s="102"/>
      <c r="J560" s="102"/>
      <c r="K560" s="102"/>
      <c r="L560" s="101"/>
    </row>
    <row r="561" spans="1:12" ht="16">
      <c r="A561" s="2"/>
      <c r="B561" s="7"/>
      <c r="C561" s="17"/>
      <c r="D561" s="55"/>
      <c r="E561" s="108"/>
      <c r="F561" s="102"/>
      <c r="G561" s="102"/>
      <c r="H561" s="102"/>
      <c r="I561" s="102"/>
      <c r="J561" s="102"/>
      <c r="K561" s="102"/>
      <c r="L561" s="101"/>
    </row>
    <row r="562" spans="1:12" ht="16">
      <c r="A562" s="2"/>
      <c r="B562" s="7"/>
      <c r="C562" s="17"/>
      <c r="D562" s="55"/>
      <c r="E562" s="108"/>
      <c r="F562" s="102"/>
      <c r="G562" s="102"/>
      <c r="H562" s="102"/>
      <c r="I562" s="102"/>
      <c r="J562" s="102"/>
      <c r="K562" s="102"/>
      <c r="L562" s="101"/>
    </row>
    <row r="563" spans="1:12" ht="16">
      <c r="A563" s="2"/>
      <c r="B563" s="7"/>
      <c r="C563" s="17"/>
      <c r="D563" s="55"/>
      <c r="E563" s="108"/>
      <c r="F563" s="102"/>
      <c r="G563" s="102"/>
      <c r="H563" s="102"/>
      <c r="I563" s="102"/>
      <c r="J563" s="102"/>
      <c r="K563" s="102"/>
      <c r="L563" s="101"/>
    </row>
    <row r="564" spans="1:12" ht="16">
      <c r="A564" s="2"/>
      <c r="B564" s="7"/>
      <c r="C564" s="17"/>
      <c r="D564" s="55"/>
      <c r="E564" s="108"/>
      <c r="F564" s="102"/>
      <c r="G564" s="102"/>
      <c r="H564" s="102"/>
      <c r="I564" s="102"/>
      <c r="J564" s="102"/>
      <c r="K564" s="102"/>
      <c r="L564" s="101"/>
    </row>
    <row r="565" spans="1:12" ht="16">
      <c r="A565" s="2"/>
      <c r="B565" s="7"/>
      <c r="C565" s="17"/>
      <c r="D565" s="55"/>
      <c r="E565" s="108"/>
      <c r="F565" s="102"/>
      <c r="G565" s="102"/>
      <c r="H565" s="102"/>
      <c r="I565" s="102"/>
      <c r="J565" s="102"/>
      <c r="K565" s="102"/>
      <c r="L565" s="101"/>
    </row>
    <row r="566" spans="1:12" ht="16">
      <c r="A566" s="2"/>
      <c r="B566" s="7"/>
      <c r="C566" s="17"/>
      <c r="D566" s="55"/>
      <c r="E566" s="108"/>
      <c r="F566" s="102"/>
      <c r="G566" s="102"/>
      <c r="H566" s="102"/>
      <c r="I566" s="102"/>
      <c r="J566" s="102"/>
      <c r="K566" s="102"/>
      <c r="L566" s="101"/>
    </row>
    <row r="567" spans="1:12" ht="16">
      <c r="A567" s="2"/>
      <c r="B567" s="7"/>
      <c r="C567" s="17"/>
      <c r="D567" s="55"/>
      <c r="E567" s="108"/>
      <c r="F567" s="102"/>
      <c r="G567" s="102"/>
      <c r="H567" s="102"/>
      <c r="I567" s="102"/>
      <c r="J567" s="102"/>
      <c r="K567" s="102"/>
      <c r="L567" s="101"/>
    </row>
    <row r="568" spans="1:12" ht="16">
      <c r="A568" s="2"/>
      <c r="B568" s="7"/>
      <c r="C568" s="17"/>
      <c r="D568" s="55"/>
      <c r="E568" s="108"/>
      <c r="F568" s="102"/>
      <c r="G568" s="102"/>
      <c r="H568" s="102"/>
      <c r="I568" s="102"/>
      <c r="J568" s="102"/>
      <c r="K568" s="102"/>
      <c r="L568" s="101"/>
    </row>
    <row r="569" spans="1:12" ht="16">
      <c r="A569" s="2"/>
      <c r="B569" s="7"/>
      <c r="C569" s="17"/>
      <c r="D569" s="55"/>
      <c r="E569" s="108"/>
      <c r="F569" s="102"/>
      <c r="G569" s="102"/>
      <c r="H569" s="102"/>
      <c r="I569" s="102"/>
      <c r="J569" s="102"/>
      <c r="K569" s="102"/>
      <c r="L569" s="101"/>
    </row>
    <row r="570" spans="1:12" ht="16">
      <c r="A570" s="2"/>
      <c r="B570" s="7"/>
      <c r="C570" s="17"/>
      <c r="D570" s="55"/>
      <c r="E570" s="108"/>
      <c r="F570" s="102"/>
      <c r="G570" s="102"/>
      <c r="H570" s="102"/>
      <c r="I570" s="102"/>
      <c r="J570" s="102"/>
      <c r="K570" s="102"/>
      <c r="L570" s="101"/>
    </row>
    <row r="571" spans="1:12" ht="16">
      <c r="A571" s="2"/>
      <c r="B571" s="7"/>
      <c r="C571" s="17"/>
      <c r="D571" s="55"/>
      <c r="E571" s="108"/>
      <c r="F571" s="102"/>
      <c r="G571" s="102"/>
      <c r="H571" s="102"/>
      <c r="I571" s="102"/>
      <c r="J571" s="102"/>
      <c r="K571" s="102"/>
      <c r="L571" s="101"/>
    </row>
    <row r="572" spans="1:12" ht="16">
      <c r="A572" s="2"/>
      <c r="B572" s="7"/>
      <c r="C572" s="17"/>
      <c r="D572" s="55"/>
      <c r="E572" s="108"/>
      <c r="F572" s="102"/>
      <c r="G572" s="102"/>
      <c r="H572" s="102"/>
      <c r="I572" s="102"/>
      <c r="J572" s="102"/>
      <c r="K572" s="102"/>
      <c r="L572" s="101"/>
    </row>
    <row r="573" spans="1:12" ht="16">
      <c r="A573" s="2"/>
      <c r="B573" s="7"/>
      <c r="C573" s="17"/>
      <c r="D573" s="55"/>
      <c r="E573" s="108"/>
      <c r="F573" s="102"/>
      <c r="G573" s="102"/>
      <c r="H573" s="102"/>
      <c r="I573" s="102"/>
      <c r="J573" s="102"/>
      <c r="K573" s="102"/>
      <c r="L573" s="101"/>
    </row>
    <row r="574" spans="1:12" ht="16">
      <c r="A574" s="2"/>
      <c r="B574" s="7"/>
      <c r="C574" s="17"/>
      <c r="D574" s="55"/>
      <c r="E574" s="108"/>
      <c r="F574" s="102"/>
      <c r="G574" s="102"/>
      <c r="H574" s="102"/>
      <c r="I574" s="102"/>
      <c r="J574" s="102"/>
      <c r="K574" s="102"/>
      <c r="L574" s="101"/>
    </row>
    <row r="575" spans="1:12" ht="16">
      <c r="A575" s="2"/>
      <c r="B575" s="7"/>
      <c r="C575" s="17"/>
      <c r="D575" s="55"/>
      <c r="E575" s="108"/>
      <c r="F575" s="102"/>
      <c r="G575" s="102"/>
      <c r="H575" s="102"/>
      <c r="I575" s="102"/>
      <c r="J575" s="102"/>
      <c r="K575" s="102"/>
      <c r="L575" s="101"/>
    </row>
    <row r="576" spans="1:12" ht="16">
      <c r="A576" s="2"/>
      <c r="B576" s="7"/>
      <c r="C576" s="17"/>
      <c r="D576" s="55"/>
      <c r="E576" s="108"/>
      <c r="F576" s="102"/>
      <c r="G576" s="102"/>
      <c r="H576" s="102"/>
      <c r="I576" s="102"/>
      <c r="J576" s="102"/>
      <c r="K576" s="102"/>
      <c r="L576" s="101"/>
    </row>
    <row r="577" spans="1:12" ht="16">
      <c r="A577" s="2"/>
      <c r="B577" s="7"/>
      <c r="C577" s="17"/>
      <c r="D577" s="55"/>
      <c r="E577" s="108"/>
      <c r="F577" s="102"/>
      <c r="G577" s="102"/>
      <c r="H577" s="102"/>
      <c r="I577" s="102"/>
      <c r="J577" s="102"/>
      <c r="K577" s="102"/>
      <c r="L577" s="101"/>
    </row>
    <row r="578" spans="1:12" ht="16">
      <c r="A578" s="2"/>
      <c r="B578" s="7"/>
      <c r="C578" s="17"/>
      <c r="D578" s="55"/>
      <c r="E578" s="108"/>
      <c r="F578" s="102"/>
      <c r="G578" s="102"/>
      <c r="H578" s="102"/>
      <c r="I578" s="102"/>
      <c r="J578" s="102"/>
      <c r="K578" s="102"/>
      <c r="L578" s="101"/>
    </row>
    <row r="579" spans="1:12" ht="16">
      <c r="A579" s="2"/>
      <c r="B579" s="7"/>
      <c r="C579" s="17"/>
      <c r="D579" s="55"/>
      <c r="E579" s="108"/>
      <c r="F579" s="102"/>
      <c r="G579" s="102"/>
      <c r="H579" s="102"/>
      <c r="I579" s="102"/>
      <c r="J579" s="102"/>
      <c r="K579" s="102"/>
      <c r="L579" s="101"/>
    </row>
    <row r="580" spans="1:12" ht="16">
      <c r="A580" s="2"/>
      <c r="B580" s="7"/>
      <c r="C580" s="17"/>
      <c r="D580" s="55"/>
      <c r="E580" s="108"/>
      <c r="F580" s="102"/>
      <c r="G580" s="102"/>
      <c r="H580" s="102"/>
      <c r="I580" s="102"/>
      <c r="J580" s="102"/>
      <c r="K580" s="102"/>
      <c r="L580" s="101"/>
    </row>
    <row r="581" spans="1:12" ht="16">
      <c r="A581" s="2"/>
      <c r="B581" s="7"/>
      <c r="C581" s="17"/>
      <c r="D581" s="55"/>
      <c r="E581" s="108"/>
      <c r="F581" s="102"/>
      <c r="G581" s="102"/>
      <c r="H581" s="102"/>
      <c r="I581" s="102"/>
      <c r="J581" s="102"/>
      <c r="K581" s="102"/>
      <c r="L581" s="101"/>
    </row>
    <row r="582" spans="1:12" ht="16">
      <c r="A582" s="2"/>
      <c r="B582" s="7"/>
      <c r="C582" s="17"/>
      <c r="D582" s="55"/>
      <c r="E582" s="108"/>
      <c r="F582" s="102"/>
      <c r="G582" s="102"/>
      <c r="H582" s="102"/>
      <c r="I582" s="102"/>
      <c r="J582" s="102"/>
      <c r="K582" s="102"/>
      <c r="L582" s="101"/>
    </row>
    <row r="583" spans="1:12" ht="16">
      <c r="A583" s="2"/>
      <c r="B583" s="7"/>
      <c r="C583" s="17"/>
      <c r="D583" s="55"/>
      <c r="E583" s="108"/>
      <c r="F583" s="102"/>
      <c r="G583" s="102"/>
      <c r="H583" s="102"/>
      <c r="I583" s="102"/>
      <c r="J583" s="102"/>
      <c r="K583" s="102"/>
      <c r="L583" s="101"/>
    </row>
    <row r="584" spans="1:12" ht="16">
      <c r="A584" s="2"/>
      <c r="B584" s="7"/>
      <c r="C584" s="17"/>
      <c r="D584" s="55"/>
      <c r="E584" s="108"/>
      <c r="F584" s="102"/>
      <c r="G584" s="102"/>
      <c r="H584" s="102"/>
      <c r="I584" s="102"/>
      <c r="J584" s="102"/>
      <c r="K584" s="102"/>
      <c r="L584" s="101"/>
    </row>
    <row r="585" spans="1:12" ht="16">
      <c r="A585" s="2"/>
      <c r="B585" s="7"/>
      <c r="C585" s="17"/>
      <c r="D585" s="55"/>
      <c r="E585" s="108"/>
      <c r="F585" s="102"/>
      <c r="G585" s="102"/>
      <c r="H585" s="102"/>
      <c r="I585" s="102"/>
      <c r="J585" s="102"/>
      <c r="K585" s="102"/>
      <c r="L585" s="101"/>
    </row>
    <row r="586" spans="1:12" ht="16">
      <c r="A586" s="2"/>
      <c r="B586" s="7"/>
      <c r="C586" s="17"/>
      <c r="D586" s="55"/>
      <c r="E586" s="108"/>
      <c r="F586" s="102"/>
      <c r="G586" s="102"/>
      <c r="H586" s="102"/>
      <c r="I586" s="102"/>
      <c r="J586" s="102"/>
      <c r="K586" s="102"/>
      <c r="L586" s="101"/>
    </row>
    <row r="587" spans="1:12" ht="16">
      <c r="A587" s="2"/>
      <c r="B587" s="7"/>
      <c r="C587" s="17"/>
      <c r="D587" s="55"/>
      <c r="E587" s="108"/>
      <c r="F587" s="102"/>
      <c r="G587" s="102"/>
      <c r="H587" s="102"/>
      <c r="I587" s="102"/>
      <c r="J587" s="102"/>
      <c r="K587" s="102"/>
      <c r="L587" s="101"/>
    </row>
    <row r="588" spans="1:12" ht="16">
      <c r="A588" s="2"/>
      <c r="B588" s="7"/>
      <c r="C588" s="17"/>
      <c r="D588" s="55"/>
      <c r="E588" s="108"/>
      <c r="F588" s="102"/>
      <c r="G588" s="102"/>
      <c r="H588" s="102"/>
      <c r="I588" s="102"/>
      <c r="J588" s="102"/>
      <c r="K588" s="102"/>
      <c r="L588" s="101"/>
    </row>
    <row r="589" spans="1:12" ht="16">
      <c r="A589" s="2"/>
      <c r="B589" s="7"/>
      <c r="C589" s="17"/>
      <c r="D589" s="55"/>
      <c r="E589" s="108"/>
      <c r="F589" s="102"/>
      <c r="G589" s="102"/>
      <c r="H589" s="102"/>
      <c r="I589" s="102"/>
      <c r="J589" s="102"/>
      <c r="K589" s="102"/>
      <c r="L589" s="101"/>
    </row>
    <row r="590" spans="1:12" ht="16">
      <c r="A590" s="2"/>
      <c r="B590" s="7"/>
      <c r="C590" s="17"/>
      <c r="D590" s="55"/>
      <c r="E590" s="108"/>
      <c r="F590" s="102"/>
      <c r="G590" s="102"/>
      <c r="H590" s="102"/>
      <c r="I590" s="102"/>
      <c r="J590" s="102"/>
      <c r="K590" s="102"/>
      <c r="L590" s="101"/>
    </row>
    <row r="591" spans="1:12" ht="16">
      <c r="A591" s="2"/>
      <c r="B591" s="7"/>
      <c r="C591" s="17"/>
      <c r="D591" s="55"/>
      <c r="E591" s="108"/>
      <c r="F591" s="102"/>
      <c r="G591" s="102"/>
      <c r="H591" s="102"/>
      <c r="I591" s="102"/>
      <c r="J591" s="102"/>
      <c r="K591" s="102"/>
      <c r="L591" s="101"/>
    </row>
    <row r="592" spans="1:12" ht="16">
      <c r="A592" s="2"/>
      <c r="B592" s="7"/>
      <c r="C592" s="17"/>
      <c r="D592" s="55"/>
      <c r="E592" s="108"/>
      <c r="F592" s="102"/>
      <c r="G592" s="102"/>
      <c r="H592" s="102"/>
      <c r="I592" s="102"/>
      <c r="J592" s="102"/>
      <c r="K592" s="102"/>
      <c r="L592" s="101"/>
    </row>
    <row r="593" spans="1:12" ht="16">
      <c r="A593" s="2"/>
      <c r="B593" s="7"/>
      <c r="C593" s="17"/>
      <c r="D593" s="55"/>
      <c r="E593" s="108"/>
      <c r="F593" s="102"/>
      <c r="G593" s="102"/>
      <c r="H593" s="102"/>
      <c r="I593" s="102"/>
      <c r="J593" s="102"/>
      <c r="K593" s="102"/>
      <c r="L593" s="101"/>
    </row>
    <row r="594" spans="1:12" ht="16">
      <c r="A594" s="2"/>
      <c r="B594" s="7"/>
      <c r="C594" s="17"/>
      <c r="D594" s="55"/>
      <c r="E594" s="108"/>
      <c r="F594" s="102"/>
      <c r="G594" s="102"/>
      <c r="H594" s="102"/>
      <c r="I594" s="102"/>
      <c r="J594" s="102"/>
      <c r="K594" s="102"/>
      <c r="L594" s="101"/>
    </row>
    <row r="595" spans="1:12" ht="16">
      <c r="A595" s="2"/>
      <c r="B595" s="7"/>
      <c r="C595" s="17"/>
      <c r="D595" s="55"/>
      <c r="E595" s="108"/>
      <c r="F595" s="102"/>
      <c r="G595" s="102"/>
      <c r="H595" s="102"/>
      <c r="I595" s="102"/>
      <c r="J595" s="102"/>
      <c r="K595" s="102"/>
      <c r="L595" s="101"/>
    </row>
    <row r="596" spans="1:12" ht="16">
      <c r="A596" s="2"/>
      <c r="B596" s="7"/>
      <c r="C596" s="17"/>
      <c r="D596" s="55"/>
      <c r="E596" s="108"/>
      <c r="F596" s="102"/>
      <c r="G596" s="102"/>
      <c r="H596" s="102"/>
      <c r="I596" s="102"/>
      <c r="J596" s="102"/>
      <c r="K596" s="102"/>
      <c r="L596" s="101"/>
    </row>
    <row r="597" spans="1:12" ht="16">
      <c r="A597" s="2"/>
      <c r="B597" s="7"/>
      <c r="C597" s="17"/>
      <c r="D597" s="55"/>
      <c r="E597" s="108"/>
      <c r="F597" s="102"/>
      <c r="G597" s="102"/>
      <c r="H597" s="102"/>
      <c r="I597" s="102"/>
      <c r="J597" s="102"/>
      <c r="K597" s="102"/>
      <c r="L597" s="101"/>
    </row>
    <row r="598" spans="1:12" ht="16">
      <c r="A598" s="2"/>
      <c r="B598" s="7"/>
      <c r="C598" s="17"/>
      <c r="D598" s="55"/>
      <c r="E598" s="108"/>
      <c r="F598" s="102"/>
      <c r="G598" s="102"/>
      <c r="H598" s="102"/>
      <c r="I598" s="102"/>
      <c r="J598" s="102"/>
      <c r="K598" s="102"/>
      <c r="L598" s="101"/>
    </row>
    <row r="599" spans="1:12" ht="16">
      <c r="A599" s="2"/>
      <c r="B599" s="7"/>
      <c r="C599" s="17"/>
      <c r="D599" s="55"/>
      <c r="E599" s="108"/>
      <c r="F599" s="102"/>
      <c r="G599" s="102"/>
      <c r="H599" s="102"/>
      <c r="I599" s="102"/>
      <c r="J599" s="102"/>
      <c r="K599" s="102"/>
      <c r="L599" s="101"/>
    </row>
    <row r="600" spans="1:12" ht="16">
      <c r="A600" s="2"/>
      <c r="B600" s="7"/>
      <c r="C600" s="17"/>
      <c r="D600" s="55"/>
      <c r="E600" s="108"/>
      <c r="F600" s="102"/>
      <c r="G600" s="102"/>
      <c r="H600" s="102"/>
      <c r="I600" s="102"/>
      <c r="J600" s="102"/>
      <c r="K600" s="102"/>
      <c r="L600" s="101"/>
    </row>
    <row r="601" spans="1:12" ht="16">
      <c r="A601" s="2"/>
      <c r="B601" s="7"/>
      <c r="C601" s="17"/>
      <c r="D601" s="55"/>
      <c r="E601" s="108"/>
      <c r="F601" s="102"/>
      <c r="G601" s="102"/>
      <c r="H601" s="102"/>
      <c r="I601" s="102"/>
      <c r="J601" s="102"/>
      <c r="K601" s="102"/>
      <c r="L601" s="101"/>
    </row>
    <row r="602" spans="1:12" ht="16">
      <c r="A602" s="2"/>
      <c r="B602" s="7"/>
      <c r="C602" s="17"/>
      <c r="D602" s="55"/>
      <c r="E602" s="108"/>
      <c r="F602" s="102"/>
      <c r="G602" s="102"/>
      <c r="H602" s="102"/>
      <c r="I602" s="102"/>
      <c r="J602" s="102"/>
      <c r="K602" s="102"/>
      <c r="L602" s="101"/>
    </row>
    <row r="603" spans="1:12" ht="16">
      <c r="A603" s="2"/>
      <c r="B603" s="7"/>
      <c r="C603" s="17"/>
      <c r="D603" s="55"/>
      <c r="E603" s="108"/>
      <c r="F603" s="102"/>
      <c r="G603" s="102"/>
      <c r="H603" s="102"/>
      <c r="I603" s="102"/>
      <c r="J603" s="102"/>
      <c r="K603" s="102"/>
      <c r="L603" s="101"/>
    </row>
    <row r="604" spans="1:12" ht="16">
      <c r="A604" s="2"/>
      <c r="B604" s="7"/>
      <c r="C604" s="17"/>
      <c r="D604" s="55"/>
      <c r="E604" s="108"/>
      <c r="F604" s="102"/>
      <c r="G604" s="102"/>
      <c r="H604" s="102"/>
      <c r="I604" s="102"/>
      <c r="J604" s="102"/>
      <c r="K604" s="102"/>
      <c r="L604" s="101"/>
    </row>
    <row r="605" spans="1:12" ht="16">
      <c r="A605" s="2"/>
      <c r="B605" s="7"/>
      <c r="C605" s="17"/>
      <c r="D605" s="55"/>
      <c r="E605" s="108"/>
      <c r="F605" s="102"/>
      <c r="G605" s="102"/>
      <c r="H605" s="102"/>
      <c r="I605" s="102"/>
      <c r="J605" s="102"/>
      <c r="K605" s="102"/>
      <c r="L605" s="101"/>
    </row>
    <row r="606" spans="1:12" ht="16">
      <c r="A606" s="2"/>
      <c r="B606" s="7"/>
      <c r="C606" s="17"/>
      <c r="D606" s="55"/>
      <c r="E606" s="108"/>
      <c r="F606" s="102"/>
      <c r="G606" s="102"/>
      <c r="H606" s="102"/>
      <c r="I606" s="102"/>
      <c r="J606" s="102"/>
      <c r="K606" s="102"/>
      <c r="L606" s="101"/>
    </row>
    <row r="607" spans="1:12" ht="16">
      <c r="A607" s="2"/>
      <c r="B607" s="7"/>
      <c r="C607" s="17"/>
      <c r="D607" s="55"/>
      <c r="E607" s="108"/>
      <c r="F607" s="102"/>
      <c r="G607" s="102"/>
      <c r="H607" s="102"/>
      <c r="I607" s="102"/>
      <c r="J607" s="102"/>
      <c r="K607" s="102"/>
      <c r="L607" s="101"/>
    </row>
    <row r="608" spans="1:12" ht="16">
      <c r="A608" s="2"/>
      <c r="B608" s="7"/>
      <c r="C608" s="17"/>
      <c r="D608" s="55"/>
      <c r="E608" s="108"/>
      <c r="F608" s="102"/>
      <c r="G608" s="102"/>
      <c r="H608" s="102"/>
      <c r="I608" s="102"/>
      <c r="J608" s="102"/>
      <c r="K608" s="102"/>
      <c r="L608" s="101"/>
    </row>
    <row r="609" spans="1:12" ht="16">
      <c r="A609" s="2"/>
      <c r="B609" s="7"/>
      <c r="C609" s="17"/>
      <c r="D609" s="55"/>
      <c r="E609" s="108"/>
      <c r="F609" s="102"/>
      <c r="G609" s="102"/>
      <c r="H609" s="102"/>
      <c r="I609" s="102"/>
      <c r="J609" s="102"/>
      <c r="K609" s="102"/>
      <c r="L609" s="101"/>
    </row>
    <row r="610" spans="1:12" ht="16">
      <c r="A610" s="2"/>
      <c r="B610" s="7"/>
      <c r="C610" s="17"/>
      <c r="D610" s="55"/>
      <c r="E610" s="108"/>
      <c r="F610" s="102"/>
      <c r="G610" s="102"/>
      <c r="H610" s="102"/>
      <c r="I610" s="102"/>
      <c r="J610" s="102"/>
      <c r="K610" s="102"/>
      <c r="L610" s="101"/>
    </row>
    <row r="611" spans="1:12" ht="16">
      <c r="A611" s="2"/>
      <c r="B611" s="7"/>
      <c r="C611" s="17"/>
      <c r="D611" s="55"/>
      <c r="E611" s="108"/>
      <c r="F611" s="102"/>
      <c r="G611" s="102"/>
      <c r="H611" s="102"/>
      <c r="I611" s="102"/>
      <c r="J611" s="102"/>
      <c r="K611" s="102"/>
      <c r="L611" s="101"/>
    </row>
    <row r="612" spans="1:12" ht="16">
      <c r="A612" s="2"/>
      <c r="B612" s="7"/>
      <c r="C612" s="17"/>
      <c r="D612" s="55"/>
      <c r="E612" s="108"/>
      <c r="F612" s="102"/>
      <c r="G612" s="102"/>
      <c r="H612" s="102"/>
      <c r="I612" s="102"/>
      <c r="J612" s="102"/>
      <c r="K612" s="102"/>
      <c r="L612" s="101"/>
    </row>
    <row r="613" spans="1:12" ht="16">
      <c r="A613" s="2"/>
      <c r="B613" s="7"/>
      <c r="C613" s="17"/>
      <c r="D613" s="55"/>
      <c r="E613" s="108"/>
      <c r="F613" s="102"/>
      <c r="G613" s="102"/>
      <c r="H613" s="102"/>
      <c r="I613" s="102"/>
      <c r="J613" s="102"/>
      <c r="K613" s="102"/>
      <c r="L613" s="101"/>
    </row>
    <row r="614" spans="1:12" ht="16">
      <c r="A614" s="2"/>
      <c r="B614" s="7"/>
      <c r="C614" s="17"/>
      <c r="D614" s="55"/>
      <c r="E614" s="108"/>
      <c r="F614" s="102"/>
      <c r="G614" s="102"/>
      <c r="H614" s="102"/>
      <c r="I614" s="102"/>
      <c r="J614" s="102"/>
      <c r="K614" s="102"/>
      <c r="L614" s="101"/>
    </row>
    <row r="615" spans="1:12" ht="16">
      <c r="A615" s="2"/>
      <c r="B615" s="7"/>
      <c r="C615" s="17"/>
      <c r="D615" s="55"/>
      <c r="E615" s="108"/>
      <c r="F615" s="102"/>
      <c r="G615" s="102"/>
      <c r="H615" s="102"/>
      <c r="I615" s="102"/>
      <c r="J615" s="102"/>
      <c r="K615" s="102"/>
      <c r="L615" s="101"/>
    </row>
    <row r="616" spans="1:12" ht="16">
      <c r="A616" s="2"/>
      <c r="B616" s="7"/>
      <c r="C616" s="17"/>
      <c r="D616" s="55"/>
      <c r="E616" s="108"/>
      <c r="F616" s="102"/>
      <c r="G616" s="102"/>
      <c r="H616" s="102"/>
      <c r="I616" s="102"/>
      <c r="J616" s="102"/>
      <c r="K616" s="102"/>
      <c r="L616" s="101"/>
    </row>
    <row r="617" spans="1:12" ht="16">
      <c r="A617" s="2"/>
      <c r="B617" s="7"/>
      <c r="C617" s="17"/>
      <c r="D617" s="55"/>
      <c r="E617" s="108"/>
      <c r="F617" s="102"/>
      <c r="G617" s="102"/>
      <c r="H617" s="102"/>
      <c r="I617" s="102"/>
      <c r="J617" s="102"/>
      <c r="K617" s="102"/>
      <c r="L617" s="101"/>
    </row>
    <row r="618" spans="1:12" ht="16">
      <c r="A618" s="2"/>
      <c r="B618" s="7"/>
      <c r="C618" s="17"/>
      <c r="D618" s="55"/>
      <c r="E618" s="108"/>
      <c r="F618" s="102"/>
      <c r="G618" s="102"/>
      <c r="H618" s="102"/>
      <c r="I618" s="102"/>
      <c r="J618" s="102"/>
      <c r="K618" s="102"/>
      <c r="L618" s="101"/>
    </row>
    <row r="619" spans="1:12" ht="16">
      <c r="A619" s="2"/>
      <c r="B619" s="7"/>
      <c r="C619" s="17"/>
      <c r="D619" s="55"/>
      <c r="E619" s="108"/>
      <c r="F619" s="102"/>
      <c r="G619" s="102"/>
      <c r="H619" s="102"/>
      <c r="I619" s="102"/>
      <c r="J619" s="102"/>
      <c r="K619" s="102"/>
      <c r="L619" s="101"/>
    </row>
    <row r="620" spans="1:12" ht="16">
      <c r="A620" s="2"/>
      <c r="B620" s="7"/>
      <c r="C620" s="17"/>
      <c r="D620" s="55"/>
      <c r="E620" s="108"/>
      <c r="F620" s="102"/>
      <c r="G620" s="102"/>
      <c r="H620" s="102"/>
      <c r="I620" s="102"/>
      <c r="J620" s="102"/>
      <c r="K620" s="102"/>
      <c r="L620" s="101"/>
    </row>
    <row r="621" spans="1:12" ht="16">
      <c r="A621" s="2"/>
      <c r="B621" s="7"/>
      <c r="C621" s="17"/>
      <c r="D621" s="55"/>
      <c r="E621" s="108"/>
      <c r="F621" s="102"/>
      <c r="G621" s="102"/>
      <c r="H621" s="102"/>
      <c r="I621" s="102"/>
      <c r="J621" s="102"/>
      <c r="K621" s="102"/>
      <c r="L621" s="101"/>
    </row>
    <row r="622" spans="1:12" ht="16">
      <c r="A622" s="2"/>
      <c r="B622" s="7"/>
      <c r="C622" s="17"/>
      <c r="D622" s="55"/>
      <c r="E622" s="108"/>
      <c r="F622" s="102"/>
      <c r="G622" s="102"/>
      <c r="H622" s="102"/>
      <c r="I622" s="102"/>
      <c r="J622" s="102"/>
      <c r="K622" s="102"/>
      <c r="L622" s="101"/>
    </row>
    <row r="623" spans="1:12" ht="16">
      <c r="A623" s="2"/>
      <c r="B623" s="7"/>
      <c r="C623" s="17"/>
      <c r="D623" s="55"/>
      <c r="E623" s="108"/>
      <c r="F623" s="102"/>
      <c r="G623" s="102"/>
      <c r="H623" s="102"/>
      <c r="I623" s="102"/>
      <c r="J623" s="102"/>
      <c r="K623" s="102"/>
      <c r="L623" s="101"/>
    </row>
    <row r="624" spans="1:12" ht="16">
      <c r="A624" s="2"/>
      <c r="B624" s="7"/>
      <c r="C624" s="17"/>
      <c r="D624" s="55"/>
      <c r="E624" s="108"/>
      <c r="F624" s="102"/>
      <c r="G624" s="102"/>
      <c r="H624" s="102"/>
      <c r="I624" s="102"/>
      <c r="J624" s="102"/>
      <c r="K624" s="102"/>
      <c r="L624" s="101"/>
    </row>
    <row r="625" spans="1:12" ht="16">
      <c r="A625" s="2"/>
      <c r="B625" s="7"/>
      <c r="C625" s="17"/>
      <c r="D625" s="55"/>
      <c r="E625" s="108"/>
      <c r="F625" s="102"/>
      <c r="G625" s="102"/>
      <c r="H625" s="102"/>
      <c r="I625" s="102"/>
      <c r="J625" s="102"/>
      <c r="K625" s="102"/>
      <c r="L625" s="101"/>
    </row>
    <row r="626" spans="1:12" ht="16">
      <c r="A626" s="2"/>
      <c r="B626" s="7"/>
      <c r="C626" s="17"/>
      <c r="D626" s="55"/>
      <c r="E626" s="108"/>
      <c r="F626" s="102"/>
      <c r="G626" s="102"/>
      <c r="H626" s="102"/>
      <c r="I626" s="102"/>
      <c r="J626" s="102"/>
      <c r="K626" s="102"/>
      <c r="L626" s="101"/>
    </row>
    <row r="627" spans="1:12" ht="16">
      <c r="A627" s="2"/>
      <c r="B627" s="7"/>
      <c r="C627" s="17"/>
      <c r="D627" s="55"/>
      <c r="E627" s="108"/>
      <c r="F627" s="102"/>
      <c r="G627" s="102"/>
      <c r="H627" s="102"/>
      <c r="I627" s="102"/>
      <c r="J627" s="102"/>
      <c r="K627" s="102"/>
      <c r="L627" s="101"/>
    </row>
    <row r="628" spans="1:12" ht="16">
      <c r="A628" s="2"/>
      <c r="B628" s="7"/>
      <c r="C628" s="17"/>
      <c r="D628" s="55"/>
      <c r="E628" s="108"/>
      <c r="F628" s="102"/>
      <c r="G628" s="102"/>
      <c r="H628" s="102"/>
      <c r="I628" s="102"/>
      <c r="J628" s="102"/>
      <c r="K628" s="102"/>
      <c r="L628" s="101"/>
    </row>
    <row r="629" spans="1:12" ht="16">
      <c r="A629" s="2"/>
      <c r="B629" s="7"/>
      <c r="C629" s="17"/>
      <c r="D629" s="55"/>
      <c r="E629" s="108"/>
      <c r="F629" s="102"/>
      <c r="G629" s="102"/>
      <c r="H629" s="102"/>
      <c r="I629" s="102"/>
      <c r="J629" s="102"/>
      <c r="K629" s="102"/>
      <c r="L629" s="101"/>
    </row>
    <row r="630" spans="1:12" ht="16">
      <c r="A630" s="2"/>
      <c r="B630" s="7"/>
      <c r="C630" s="17"/>
      <c r="D630" s="55"/>
      <c r="E630" s="108"/>
      <c r="F630" s="102"/>
      <c r="G630" s="102"/>
      <c r="H630" s="102"/>
      <c r="I630" s="102"/>
      <c r="J630" s="102"/>
      <c r="K630" s="102"/>
      <c r="L630" s="101"/>
    </row>
    <row r="631" spans="1:12" ht="16">
      <c r="A631" s="2"/>
      <c r="B631" s="7"/>
      <c r="C631" s="17"/>
      <c r="D631" s="55"/>
      <c r="E631" s="108"/>
      <c r="F631" s="102"/>
      <c r="G631" s="102"/>
      <c r="H631" s="102"/>
      <c r="I631" s="102"/>
      <c r="J631" s="102"/>
      <c r="K631" s="102"/>
      <c r="L631" s="101"/>
    </row>
    <row r="632" spans="1:12" ht="16">
      <c r="A632" s="2"/>
      <c r="B632" s="7"/>
      <c r="C632" s="17"/>
      <c r="D632" s="55"/>
      <c r="E632" s="108"/>
      <c r="F632" s="102"/>
      <c r="G632" s="102"/>
      <c r="H632" s="102"/>
      <c r="I632" s="102"/>
      <c r="J632" s="102"/>
      <c r="K632" s="102"/>
      <c r="L632" s="101"/>
    </row>
    <row r="633" spans="1:12" ht="16">
      <c r="A633" s="2"/>
      <c r="B633" s="7"/>
      <c r="C633" s="17"/>
      <c r="D633" s="55"/>
      <c r="E633" s="108"/>
      <c r="F633" s="102"/>
      <c r="G633" s="102"/>
      <c r="H633" s="102"/>
      <c r="I633" s="102"/>
      <c r="J633" s="102"/>
      <c r="K633" s="102"/>
      <c r="L633" s="101"/>
    </row>
    <row r="634" spans="1:12" ht="16">
      <c r="A634" s="2"/>
      <c r="B634" s="7"/>
      <c r="C634" s="17"/>
      <c r="D634" s="55"/>
      <c r="E634" s="108"/>
      <c r="F634" s="102"/>
      <c r="G634" s="102"/>
      <c r="H634" s="102"/>
      <c r="I634" s="102"/>
      <c r="J634" s="102"/>
      <c r="K634" s="102"/>
      <c r="L634" s="101"/>
    </row>
    <row r="635" spans="1:12" ht="16">
      <c r="A635" s="2"/>
      <c r="B635" s="7"/>
      <c r="C635" s="17"/>
      <c r="D635" s="55"/>
      <c r="E635" s="108"/>
      <c r="F635" s="102"/>
      <c r="G635" s="102"/>
      <c r="H635" s="102"/>
      <c r="I635" s="102"/>
      <c r="J635" s="102"/>
      <c r="K635" s="102"/>
      <c r="L635" s="101"/>
    </row>
    <row r="636" spans="1:12" ht="16">
      <c r="A636" s="2"/>
      <c r="B636" s="7"/>
      <c r="C636" s="17"/>
      <c r="D636" s="55"/>
      <c r="E636" s="108"/>
      <c r="F636" s="102"/>
      <c r="G636" s="102"/>
      <c r="H636" s="102"/>
      <c r="I636" s="102"/>
      <c r="J636" s="102"/>
      <c r="K636" s="102"/>
      <c r="L636" s="101"/>
    </row>
    <row r="637" spans="1:12" ht="16">
      <c r="A637" s="2"/>
      <c r="B637" s="7"/>
      <c r="C637" s="17"/>
      <c r="D637" s="55"/>
      <c r="E637" s="108"/>
      <c r="F637" s="102"/>
      <c r="G637" s="102"/>
      <c r="H637" s="102"/>
      <c r="I637" s="102"/>
      <c r="J637" s="102"/>
      <c r="K637" s="102"/>
      <c r="L637" s="101"/>
    </row>
    <row r="638" spans="1:12" ht="16">
      <c r="A638" s="2"/>
      <c r="B638" s="7"/>
      <c r="C638" s="17"/>
      <c r="D638" s="55"/>
      <c r="E638" s="108"/>
      <c r="F638" s="102"/>
      <c r="G638" s="102"/>
      <c r="H638" s="102"/>
      <c r="I638" s="102"/>
      <c r="J638" s="102"/>
      <c r="K638" s="102"/>
      <c r="L638" s="101"/>
    </row>
    <row r="639" spans="1:12" ht="16">
      <c r="A639" s="2"/>
      <c r="B639" s="7"/>
      <c r="C639" s="17"/>
      <c r="D639" s="55"/>
      <c r="E639" s="108"/>
      <c r="F639" s="102"/>
      <c r="G639" s="102"/>
      <c r="H639" s="102"/>
      <c r="I639" s="102"/>
      <c r="J639" s="102"/>
      <c r="K639" s="102"/>
      <c r="L639" s="101"/>
    </row>
    <row r="640" spans="1:12" ht="16">
      <c r="A640" s="2"/>
      <c r="B640" s="7"/>
      <c r="C640" s="17"/>
      <c r="D640" s="55"/>
      <c r="E640" s="108"/>
      <c r="F640" s="102"/>
      <c r="G640" s="102"/>
      <c r="H640" s="102"/>
      <c r="I640" s="102"/>
      <c r="J640" s="102"/>
      <c r="K640" s="102"/>
      <c r="L640" s="101"/>
    </row>
    <row r="641" spans="1:12" ht="16">
      <c r="A641" s="2"/>
      <c r="B641" s="7"/>
      <c r="C641" s="17"/>
      <c r="D641" s="55"/>
      <c r="E641" s="108"/>
      <c r="F641" s="102"/>
      <c r="G641" s="102"/>
      <c r="H641" s="102"/>
      <c r="I641" s="102"/>
      <c r="J641" s="102"/>
      <c r="K641" s="102"/>
      <c r="L641" s="101"/>
    </row>
    <row r="642" spans="1:12" ht="16">
      <c r="A642" s="2"/>
      <c r="B642" s="7"/>
      <c r="C642" s="17"/>
      <c r="D642" s="55"/>
      <c r="E642" s="108"/>
      <c r="F642" s="102"/>
      <c r="G642" s="102"/>
      <c r="H642" s="102"/>
      <c r="I642" s="102"/>
      <c r="J642" s="102"/>
      <c r="K642" s="102"/>
      <c r="L642" s="101"/>
    </row>
    <row r="643" spans="1:12" ht="16">
      <c r="A643" s="2"/>
      <c r="B643" s="7"/>
      <c r="C643" s="17"/>
      <c r="D643" s="55"/>
      <c r="E643" s="108"/>
      <c r="F643" s="102"/>
      <c r="G643" s="102"/>
      <c r="H643" s="102"/>
      <c r="I643" s="102"/>
      <c r="J643" s="102"/>
      <c r="K643" s="102"/>
      <c r="L643" s="101"/>
    </row>
    <row r="644" spans="1:12" ht="16">
      <c r="A644" s="2"/>
      <c r="B644" s="7"/>
      <c r="C644" s="17"/>
      <c r="D644" s="55"/>
      <c r="E644" s="108"/>
      <c r="F644" s="102"/>
      <c r="G644" s="102"/>
      <c r="H644" s="102"/>
      <c r="I644" s="102"/>
      <c r="J644" s="102"/>
      <c r="K644" s="102"/>
      <c r="L644" s="101"/>
    </row>
    <row r="645" spans="1:12" ht="16">
      <c r="A645" s="2"/>
      <c r="B645" s="7"/>
      <c r="C645" s="17"/>
      <c r="D645" s="55"/>
      <c r="E645" s="108"/>
      <c r="F645" s="102"/>
      <c r="G645" s="102"/>
      <c r="H645" s="102"/>
      <c r="I645" s="102"/>
      <c r="J645" s="102"/>
      <c r="K645" s="102"/>
      <c r="L645" s="101"/>
    </row>
    <row r="646" spans="1:12" ht="16">
      <c r="A646" s="2"/>
      <c r="B646" s="7"/>
      <c r="C646" s="17"/>
      <c r="D646" s="55"/>
      <c r="E646" s="108"/>
      <c r="F646" s="102"/>
      <c r="G646" s="102"/>
      <c r="H646" s="102"/>
      <c r="I646" s="102"/>
      <c r="J646" s="102"/>
      <c r="K646" s="102"/>
      <c r="L646" s="101"/>
    </row>
    <row r="647" spans="1:12" ht="16">
      <c r="A647" s="2"/>
      <c r="B647" s="7"/>
      <c r="C647" s="17"/>
      <c r="D647" s="55"/>
      <c r="E647" s="108"/>
      <c r="F647" s="102"/>
      <c r="G647" s="102"/>
      <c r="H647" s="102"/>
      <c r="I647" s="102"/>
      <c r="J647" s="102"/>
      <c r="K647" s="102"/>
      <c r="L647" s="101"/>
    </row>
    <row r="648" spans="1:12" ht="16">
      <c r="A648" s="2"/>
      <c r="B648" s="7"/>
      <c r="C648" s="17"/>
      <c r="D648" s="55"/>
      <c r="E648" s="108"/>
      <c r="F648" s="102"/>
      <c r="G648" s="102"/>
      <c r="H648" s="102"/>
      <c r="I648" s="102"/>
      <c r="J648" s="102"/>
      <c r="K648" s="102"/>
      <c r="L648" s="101"/>
    </row>
    <row r="649" spans="1:12" ht="16">
      <c r="A649" s="2"/>
      <c r="B649" s="7"/>
      <c r="C649" s="17"/>
      <c r="D649" s="55"/>
      <c r="E649" s="108"/>
      <c r="F649" s="102"/>
      <c r="G649" s="102"/>
      <c r="H649" s="102"/>
      <c r="I649" s="102"/>
      <c r="J649" s="102"/>
      <c r="K649" s="102"/>
      <c r="L649" s="101"/>
    </row>
    <row r="650" spans="1:12" ht="16">
      <c r="A650" s="2"/>
      <c r="B650" s="7"/>
      <c r="C650" s="17"/>
      <c r="D650" s="55"/>
      <c r="E650" s="108"/>
      <c r="F650" s="102"/>
      <c r="G650" s="102"/>
      <c r="H650" s="102"/>
      <c r="I650" s="102"/>
      <c r="J650" s="102"/>
      <c r="K650" s="102"/>
      <c r="L650" s="101"/>
    </row>
    <row r="651" spans="1:12" ht="16">
      <c r="A651" s="2"/>
      <c r="B651" s="7"/>
      <c r="C651" s="17"/>
      <c r="D651" s="55"/>
      <c r="E651" s="108"/>
      <c r="F651" s="102"/>
      <c r="G651" s="102"/>
      <c r="H651" s="102"/>
      <c r="I651" s="102"/>
      <c r="J651" s="102"/>
      <c r="K651" s="102"/>
      <c r="L651" s="101"/>
    </row>
    <row r="652" spans="1:12" ht="16">
      <c r="A652" s="2"/>
      <c r="B652" s="7"/>
      <c r="C652" s="17"/>
      <c r="D652" s="55"/>
      <c r="E652" s="108"/>
      <c r="F652" s="102"/>
      <c r="G652" s="102"/>
      <c r="H652" s="102"/>
      <c r="I652" s="102"/>
      <c r="J652" s="102"/>
      <c r="K652" s="102"/>
      <c r="L652" s="101"/>
    </row>
    <row r="653" spans="1:12" ht="16">
      <c r="A653" s="2"/>
      <c r="B653" s="7"/>
      <c r="C653" s="17"/>
      <c r="D653" s="55"/>
      <c r="E653" s="108"/>
      <c r="F653" s="102"/>
      <c r="G653" s="102"/>
      <c r="H653" s="102"/>
      <c r="I653" s="102"/>
      <c r="J653" s="102"/>
      <c r="K653" s="102"/>
      <c r="L653" s="101"/>
    </row>
    <row r="654" spans="1:12" ht="16">
      <c r="A654" s="2"/>
      <c r="B654" s="7"/>
      <c r="C654" s="17"/>
      <c r="D654" s="55"/>
      <c r="E654" s="108"/>
      <c r="F654" s="102"/>
      <c r="G654" s="102"/>
      <c r="H654" s="102"/>
      <c r="I654" s="102"/>
      <c r="J654" s="102"/>
      <c r="K654" s="102"/>
      <c r="L654" s="101"/>
    </row>
    <row r="655" spans="1:12" ht="16">
      <c r="A655" s="2"/>
      <c r="B655" s="7"/>
      <c r="C655" s="17"/>
      <c r="D655" s="55"/>
      <c r="E655" s="108"/>
      <c r="F655" s="102"/>
      <c r="G655" s="102"/>
      <c r="H655" s="102"/>
      <c r="I655" s="102"/>
      <c r="J655" s="102"/>
      <c r="K655" s="102"/>
      <c r="L655" s="101"/>
    </row>
    <row r="656" spans="1:12" ht="16">
      <c r="A656" s="2"/>
      <c r="B656" s="7"/>
      <c r="C656" s="17"/>
      <c r="D656" s="55"/>
      <c r="E656" s="108"/>
      <c r="F656" s="102"/>
      <c r="G656" s="102"/>
      <c r="H656" s="102"/>
      <c r="I656" s="102"/>
      <c r="J656" s="102"/>
      <c r="K656" s="102"/>
      <c r="L656" s="101"/>
    </row>
    <row r="657" spans="1:12" ht="16">
      <c r="A657" s="2"/>
      <c r="B657" s="7"/>
      <c r="C657" s="17"/>
      <c r="D657" s="55"/>
      <c r="E657" s="108"/>
      <c r="F657" s="102"/>
      <c r="G657" s="102"/>
      <c r="H657" s="102"/>
      <c r="I657" s="102"/>
      <c r="J657" s="102"/>
      <c r="K657" s="102"/>
      <c r="L657" s="101"/>
    </row>
    <row r="658" spans="1:12" ht="16">
      <c r="A658" s="2"/>
      <c r="B658" s="7"/>
      <c r="C658" s="17"/>
      <c r="D658" s="55"/>
      <c r="E658" s="108"/>
      <c r="F658" s="102"/>
      <c r="G658" s="102"/>
      <c r="H658" s="102"/>
      <c r="I658" s="102"/>
      <c r="J658" s="102"/>
      <c r="K658" s="102"/>
      <c r="L658" s="101"/>
    </row>
    <row r="659" spans="1:12" ht="16">
      <c r="A659" s="2"/>
      <c r="B659" s="7"/>
      <c r="C659" s="17"/>
      <c r="D659" s="55"/>
      <c r="E659" s="108"/>
      <c r="F659" s="102"/>
      <c r="G659" s="102"/>
      <c r="H659" s="102"/>
      <c r="I659" s="102"/>
      <c r="J659" s="102"/>
      <c r="K659" s="102"/>
      <c r="L659" s="101"/>
    </row>
    <row r="660" spans="1:12" ht="16">
      <c r="A660" s="2"/>
      <c r="B660" s="7"/>
      <c r="C660" s="17"/>
      <c r="D660" s="55"/>
      <c r="E660" s="108"/>
      <c r="F660" s="102"/>
      <c r="G660" s="102"/>
      <c r="H660" s="102"/>
      <c r="I660" s="102"/>
      <c r="J660" s="102"/>
      <c r="K660" s="102"/>
      <c r="L660" s="101"/>
    </row>
    <row r="661" spans="1:12" ht="16">
      <c r="A661" s="2"/>
      <c r="B661" s="7"/>
      <c r="C661" s="17"/>
      <c r="D661" s="55"/>
      <c r="E661" s="108"/>
      <c r="F661" s="102"/>
      <c r="G661" s="102"/>
      <c r="H661" s="102"/>
      <c r="I661" s="102"/>
      <c r="J661" s="102"/>
      <c r="K661" s="102"/>
      <c r="L661" s="101"/>
    </row>
    <row r="662" spans="1:12" ht="16">
      <c r="A662" s="2"/>
      <c r="B662" s="7"/>
      <c r="C662" s="17"/>
      <c r="D662" s="55"/>
      <c r="E662" s="108"/>
      <c r="F662" s="102"/>
      <c r="G662" s="102"/>
      <c r="H662" s="102"/>
      <c r="I662" s="102"/>
      <c r="J662" s="102"/>
      <c r="K662" s="102"/>
      <c r="L662" s="101"/>
    </row>
    <row r="663" spans="1:12" ht="16">
      <c r="A663" s="2"/>
      <c r="B663" s="7"/>
      <c r="C663" s="17"/>
      <c r="D663" s="55"/>
      <c r="E663" s="108"/>
      <c r="F663" s="102"/>
      <c r="G663" s="102"/>
      <c r="H663" s="102"/>
      <c r="I663" s="102"/>
      <c r="J663" s="102"/>
      <c r="K663" s="102"/>
      <c r="L663" s="101"/>
    </row>
    <row r="664" spans="1:12" ht="16">
      <c r="A664" s="2"/>
      <c r="B664" s="7"/>
      <c r="C664" s="17"/>
      <c r="D664" s="55"/>
      <c r="E664" s="108"/>
      <c r="F664" s="102"/>
      <c r="G664" s="102"/>
      <c r="H664" s="102"/>
      <c r="I664" s="102"/>
      <c r="J664" s="102"/>
      <c r="K664" s="102"/>
      <c r="L664" s="101"/>
    </row>
    <row r="665" spans="1:12" ht="16">
      <c r="A665" s="2"/>
      <c r="B665" s="7"/>
      <c r="C665" s="17"/>
      <c r="D665" s="55"/>
      <c r="E665" s="108"/>
      <c r="F665" s="102"/>
      <c r="G665" s="102"/>
      <c r="H665" s="102"/>
      <c r="I665" s="102"/>
      <c r="J665" s="102"/>
      <c r="K665" s="102"/>
      <c r="L665" s="101"/>
    </row>
    <row r="666" spans="1:12" ht="16">
      <c r="A666" s="2"/>
      <c r="B666" s="7"/>
      <c r="C666" s="17"/>
      <c r="D666" s="55"/>
      <c r="E666" s="108"/>
      <c r="F666" s="102"/>
      <c r="G666" s="102"/>
      <c r="H666" s="102"/>
      <c r="I666" s="102"/>
      <c r="J666" s="102"/>
      <c r="K666" s="102"/>
      <c r="L666" s="101"/>
    </row>
    <row r="667" spans="1:12" ht="16">
      <c r="A667" s="2"/>
      <c r="B667" s="7"/>
      <c r="C667" s="17"/>
      <c r="D667" s="55"/>
      <c r="E667" s="108"/>
      <c r="F667" s="102"/>
      <c r="G667" s="102"/>
      <c r="H667" s="102"/>
      <c r="I667" s="102"/>
      <c r="J667" s="102"/>
      <c r="K667" s="102"/>
      <c r="L667" s="101"/>
    </row>
    <row r="668" spans="1:12" ht="16">
      <c r="A668" s="2"/>
      <c r="B668" s="7"/>
      <c r="C668" s="17"/>
      <c r="D668" s="55"/>
      <c r="E668" s="108"/>
      <c r="F668" s="102"/>
      <c r="G668" s="102"/>
      <c r="H668" s="102"/>
      <c r="I668" s="102"/>
      <c r="J668" s="102"/>
      <c r="K668" s="102"/>
      <c r="L668" s="101"/>
    </row>
    <row r="669" spans="1:12" ht="16">
      <c r="A669" s="2"/>
      <c r="B669" s="7"/>
      <c r="C669" s="17"/>
      <c r="D669" s="55"/>
      <c r="E669" s="108"/>
      <c r="F669" s="102"/>
      <c r="G669" s="102"/>
      <c r="H669" s="102"/>
      <c r="I669" s="102"/>
      <c r="J669" s="102"/>
      <c r="K669" s="102"/>
      <c r="L669" s="101"/>
    </row>
    <row r="670" spans="1:12" ht="16">
      <c r="A670" s="2"/>
      <c r="B670" s="7"/>
      <c r="C670" s="17"/>
      <c r="D670" s="55"/>
      <c r="E670" s="108"/>
      <c r="F670" s="102"/>
      <c r="G670" s="102"/>
      <c r="H670" s="102"/>
      <c r="I670" s="102"/>
      <c r="J670" s="102"/>
      <c r="K670" s="102"/>
      <c r="L670" s="101"/>
    </row>
    <row r="671" spans="1:12" ht="16">
      <c r="A671" s="2"/>
      <c r="B671" s="7"/>
      <c r="C671" s="17"/>
      <c r="D671" s="55"/>
      <c r="E671" s="108"/>
      <c r="F671" s="102"/>
      <c r="G671" s="102"/>
      <c r="H671" s="102"/>
      <c r="I671" s="102"/>
      <c r="J671" s="102"/>
      <c r="K671" s="102"/>
      <c r="L671" s="101"/>
    </row>
    <row r="672" spans="1:12" ht="16">
      <c r="A672" s="2"/>
      <c r="B672" s="7"/>
      <c r="C672" s="17"/>
      <c r="D672" s="55"/>
      <c r="E672" s="108"/>
      <c r="F672" s="102"/>
      <c r="G672" s="102"/>
      <c r="H672" s="102"/>
      <c r="I672" s="102"/>
      <c r="J672" s="102"/>
      <c r="K672" s="102"/>
      <c r="L672" s="101"/>
    </row>
    <row r="673" spans="1:12" ht="16">
      <c r="A673" s="2"/>
      <c r="B673" s="7"/>
      <c r="C673" s="17"/>
      <c r="D673" s="55"/>
      <c r="E673" s="108"/>
      <c r="F673" s="102"/>
      <c r="G673" s="102"/>
      <c r="H673" s="102"/>
      <c r="I673" s="102"/>
      <c r="J673" s="102"/>
      <c r="K673" s="102"/>
      <c r="L673" s="101"/>
    </row>
    <row r="674" spans="1:12" ht="16">
      <c r="A674" s="2"/>
      <c r="B674" s="7"/>
      <c r="C674" s="17"/>
      <c r="D674" s="55"/>
      <c r="E674" s="108"/>
      <c r="F674" s="102"/>
      <c r="G674" s="102"/>
      <c r="H674" s="102"/>
      <c r="I674" s="102"/>
      <c r="J674" s="102"/>
      <c r="K674" s="102"/>
      <c r="L674" s="101"/>
    </row>
    <row r="675" spans="1:12" ht="16">
      <c r="A675" s="2"/>
      <c r="B675" s="7"/>
      <c r="C675" s="17"/>
      <c r="D675" s="55"/>
      <c r="E675" s="108"/>
      <c r="F675" s="102"/>
      <c r="G675" s="102"/>
      <c r="H675" s="102"/>
      <c r="I675" s="102"/>
      <c r="J675" s="102"/>
      <c r="K675" s="102"/>
      <c r="L675" s="101"/>
    </row>
    <row r="676" spans="1:12" ht="16">
      <c r="A676" s="2"/>
      <c r="B676" s="7"/>
      <c r="C676" s="17"/>
      <c r="D676" s="55"/>
      <c r="E676" s="108"/>
      <c r="F676" s="102"/>
      <c r="G676" s="102"/>
      <c r="H676" s="102"/>
      <c r="I676" s="102"/>
      <c r="J676" s="102"/>
      <c r="K676" s="102"/>
      <c r="L676" s="101"/>
    </row>
    <row r="677" spans="1:12" ht="16">
      <c r="A677" s="2"/>
      <c r="B677" s="7"/>
      <c r="C677" s="17"/>
      <c r="D677" s="55"/>
      <c r="E677" s="108"/>
      <c r="F677" s="102"/>
      <c r="G677" s="102"/>
      <c r="H677" s="102"/>
      <c r="I677" s="102"/>
      <c r="J677" s="102"/>
      <c r="K677" s="102"/>
      <c r="L677" s="101"/>
    </row>
    <row r="678" spans="1:12" ht="16">
      <c r="A678" s="2"/>
      <c r="B678" s="7"/>
      <c r="C678" s="17"/>
      <c r="D678" s="55"/>
      <c r="E678" s="108"/>
      <c r="F678" s="102"/>
      <c r="G678" s="102"/>
      <c r="H678" s="102"/>
      <c r="I678" s="102"/>
      <c r="J678" s="102"/>
      <c r="K678" s="102"/>
      <c r="L678" s="101"/>
    </row>
    <row r="679" spans="1:12" ht="16">
      <c r="A679" s="2"/>
      <c r="B679" s="7"/>
      <c r="C679" s="17"/>
      <c r="D679" s="55"/>
      <c r="E679" s="108"/>
      <c r="F679" s="102"/>
      <c r="G679" s="102"/>
      <c r="H679" s="102"/>
      <c r="I679" s="102"/>
      <c r="J679" s="102"/>
      <c r="K679" s="102"/>
      <c r="L679" s="101"/>
    </row>
    <row r="680" spans="1:12" ht="16">
      <c r="A680" s="2"/>
      <c r="B680" s="7"/>
      <c r="C680" s="17"/>
      <c r="D680" s="55"/>
      <c r="E680" s="108"/>
      <c r="F680" s="102"/>
      <c r="G680" s="102"/>
      <c r="H680" s="102"/>
      <c r="I680" s="102"/>
      <c r="J680" s="102"/>
      <c r="K680" s="102"/>
      <c r="L680" s="101"/>
    </row>
    <row r="681" spans="1:12" ht="16">
      <c r="A681" s="2"/>
      <c r="B681" s="7"/>
      <c r="C681" s="17"/>
      <c r="D681" s="55"/>
      <c r="E681" s="108"/>
      <c r="F681" s="102"/>
      <c r="G681" s="102"/>
      <c r="H681" s="102"/>
      <c r="I681" s="102"/>
      <c r="J681" s="102"/>
      <c r="K681" s="102"/>
      <c r="L681" s="101"/>
    </row>
    <row r="682" spans="1:12" ht="16">
      <c r="A682" s="2"/>
      <c r="B682" s="7"/>
      <c r="C682" s="17"/>
      <c r="D682" s="55"/>
      <c r="E682" s="108"/>
      <c r="F682" s="102"/>
      <c r="G682" s="102"/>
      <c r="H682" s="102"/>
      <c r="I682" s="102"/>
      <c r="J682" s="102"/>
      <c r="K682" s="102"/>
      <c r="L682" s="101"/>
    </row>
    <row r="683" spans="1:12" ht="16">
      <c r="A683" s="2"/>
      <c r="B683" s="7"/>
      <c r="C683" s="17"/>
      <c r="D683" s="55"/>
      <c r="E683" s="108"/>
      <c r="F683" s="102"/>
      <c r="G683" s="102"/>
      <c r="H683" s="102"/>
      <c r="I683" s="102"/>
      <c r="J683" s="102"/>
      <c r="K683" s="102"/>
      <c r="L683" s="101"/>
    </row>
    <row r="684" spans="1:12" ht="16">
      <c r="A684" s="2"/>
      <c r="B684" s="7"/>
      <c r="C684" s="17"/>
      <c r="D684" s="55"/>
      <c r="E684" s="108"/>
      <c r="F684" s="102"/>
      <c r="G684" s="102"/>
      <c r="H684" s="102"/>
      <c r="I684" s="102"/>
      <c r="J684" s="102"/>
      <c r="K684" s="102"/>
      <c r="L684" s="101"/>
    </row>
    <row r="685" spans="1:12" ht="16">
      <c r="A685" s="2"/>
      <c r="B685" s="7"/>
      <c r="C685" s="17"/>
      <c r="D685" s="55"/>
      <c r="E685" s="108"/>
      <c r="F685" s="102"/>
      <c r="G685" s="102"/>
      <c r="H685" s="102"/>
      <c r="I685" s="102"/>
      <c r="J685" s="102"/>
      <c r="K685" s="102"/>
      <c r="L685" s="101"/>
    </row>
    <row r="686" spans="1:12" ht="16">
      <c r="A686" s="2"/>
      <c r="B686" s="7"/>
      <c r="C686" s="17"/>
      <c r="D686" s="55"/>
      <c r="E686" s="108"/>
      <c r="F686" s="102"/>
      <c r="G686" s="102"/>
      <c r="H686" s="102"/>
      <c r="I686" s="102"/>
      <c r="J686" s="102"/>
      <c r="K686" s="102"/>
      <c r="L686" s="101"/>
    </row>
    <row r="687" spans="1:12" ht="16">
      <c r="A687" s="2"/>
      <c r="B687" s="7"/>
      <c r="C687" s="17"/>
      <c r="D687" s="55"/>
      <c r="E687" s="108"/>
      <c r="F687" s="102"/>
      <c r="G687" s="102"/>
      <c r="H687" s="102"/>
      <c r="I687" s="102"/>
      <c r="J687" s="102"/>
      <c r="K687" s="102"/>
      <c r="L687" s="101"/>
    </row>
    <row r="688" spans="1:12" ht="16">
      <c r="A688" s="2"/>
      <c r="B688" s="7"/>
      <c r="C688" s="17"/>
      <c r="D688" s="55"/>
      <c r="E688" s="108"/>
      <c r="F688" s="102"/>
      <c r="G688" s="102"/>
      <c r="H688" s="102"/>
      <c r="I688" s="102"/>
      <c r="J688" s="102"/>
      <c r="K688" s="102"/>
      <c r="L688" s="101"/>
    </row>
    <row r="689" spans="1:12" ht="16">
      <c r="A689" s="2"/>
      <c r="B689" s="7"/>
      <c r="C689" s="17"/>
      <c r="D689" s="55"/>
      <c r="E689" s="108"/>
      <c r="F689" s="102"/>
      <c r="G689" s="102"/>
      <c r="H689" s="102"/>
      <c r="I689" s="102"/>
      <c r="J689" s="102"/>
      <c r="K689" s="102"/>
      <c r="L689" s="101"/>
    </row>
    <row r="690" spans="1:12" ht="16">
      <c r="A690" s="2"/>
      <c r="B690" s="7"/>
      <c r="C690" s="17"/>
      <c r="D690" s="55"/>
      <c r="E690" s="108"/>
      <c r="F690" s="102"/>
      <c r="G690" s="102"/>
      <c r="H690" s="102"/>
      <c r="I690" s="102"/>
      <c r="J690" s="102"/>
      <c r="K690" s="102"/>
      <c r="L690" s="101"/>
    </row>
    <row r="691" spans="1:12" ht="16">
      <c r="A691" s="2"/>
      <c r="B691" s="7"/>
      <c r="C691" s="17"/>
      <c r="D691" s="55"/>
      <c r="E691" s="108"/>
      <c r="F691" s="102"/>
      <c r="G691" s="102"/>
      <c r="H691" s="102"/>
      <c r="I691" s="102"/>
      <c r="J691" s="102"/>
      <c r="K691" s="102"/>
      <c r="L691" s="101"/>
    </row>
    <row r="692" spans="1:12" ht="16">
      <c r="A692" s="2"/>
      <c r="B692" s="7"/>
      <c r="C692" s="17"/>
      <c r="D692" s="55"/>
      <c r="E692" s="108"/>
      <c r="F692" s="102"/>
      <c r="G692" s="102"/>
      <c r="H692" s="102"/>
      <c r="I692" s="102"/>
      <c r="J692" s="102"/>
      <c r="K692" s="102"/>
      <c r="L692" s="101"/>
    </row>
    <row r="693" spans="1:12" ht="16">
      <c r="A693" s="2"/>
      <c r="B693" s="7"/>
      <c r="C693" s="17"/>
      <c r="D693" s="55"/>
      <c r="E693" s="108"/>
      <c r="F693" s="102"/>
      <c r="G693" s="102"/>
      <c r="H693" s="102"/>
      <c r="I693" s="102"/>
      <c r="J693" s="102"/>
      <c r="K693" s="102"/>
      <c r="L693" s="101"/>
    </row>
    <row r="694" spans="1:12" ht="16">
      <c r="A694" s="2"/>
      <c r="B694" s="7"/>
      <c r="C694" s="17"/>
      <c r="D694" s="55"/>
      <c r="E694" s="108"/>
      <c r="F694" s="102"/>
      <c r="G694" s="102"/>
      <c r="H694" s="102"/>
      <c r="I694" s="102"/>
      <c r="J694" s="102"/>
      <c r="K694" s="102"/>
      <c r="L694" s="101"/>
    </row>
    <row r="695" spans="1:12" ht="16">
      <c r="A695" s="2"/>
      <c r="B695" s="7"/>
      <c r="C695" s="17"/>
      <c r="D695" s="55"/>
      <c r="E695" s="108"/>
      <c r="F695" s="102"/>
      <c r="G695" s="102"/>
      <c r="H695" s="102"/>
      <c r="I695" s="102"/>
      <c r="J695" s="102"/>
      <c r="K695" s="102"/>
      <c r="L695" s="101"/>
    </row>
    <row r="696" spans="1:12" ht="16">
      <c r="A696" s="2"/>
      <c r="B696" s="7"/>
      <c r="C696" s="17"/>
      <c r="D696" s="55"/>
      <c r="E696" s="108"/>
      <c r="F696" s="102"/>
      <c r="G696" s="102"/>
      <c r="H696" s="102"/>
      <c r="I696" s="102"/>
      <c r="J696" s="102"/>
      <c r="K696" s="102"/>
      <c r="L696" s="101"/>
    </row>
    <row r="697" spans="1:12" ht="16">
      <c r="A697" s="2"/>
      <c r="B697" s="7"/>
      <c r="C697" s="17"/>
      <c r="D697" s="55"/>
      <c r="E697" s="108"/>
      <c r="F697" s="102"/>
      <c r="G697" s="102"/>
      <c r="H697" s="102"/>
      <c r="I697" s="102"/>
      <c r="J697" s="102"/>
      <c r="K697" s="102"/>
      <c r="L697" s="101"/>
    </row>
    <row r="698" spans="1:12" ht="16">
      <c r="A698" s="2"/>
      <c r="B698" s="7"/>
      <c r="C698" s="17"/>
      <c r="D698" s="55"/>
      <c r="E698" s="108"/>
      <c r="F698" s="102"/>
      <c r="G698" s="102"/>
      <c r="H698" s="102"/>
      <c r="I698" s="102"/>
      <c r="J698" s="102"/>
      <c r="K698" s="102"/>
      <c r="L698" s="101"/>
    </row>
    <row r="699" spans="1:12" ht="16">
      <c r="A699" s="2"/>
      <c r="B699" s="7"/>
      <c r="C699" s="17"/>
      <c r="D699" s="55"/>
      <c r="E699" s="108"/>
      <c r="F699" s="102"/>
      <c r="G699" s="102"/>
      <c r="H699" s="102"/>
      <c r="I699" s="102"/>
      <c r="J699" s="102"/>
      <c r="K699" s="102"/>
      <c r="L699" s="101"/>
    </row>
    <row r="700" spans="1:12" ht="16">
      <c r="A700" s="2"/>
      <c r="B700" s="7"/>
      <c r="C700" s="17"/>
      <c r="D700" s="55"/>
      <c r="E700" s="108"/>
      <c r="F700" s="102"/>
      <c r="G700" s="102"/>
      <c r="H700" s="102"/>
      <c r="I700" s="102"/>
      <c r="J700" s="102"/>
      <c r="K700" s="102"/>
      <c r="L700" s="101"/>
    </row>
    <row r="701" spans="1:12" ht="16">
      <c r="A701" s="2"/>
      <c r="B701" s="7"/>
      <c r="C701" s="17"/>
      <c r="D701" s="55"/>
      <c r="E701" s="108"/>
      <c r="F701" s="102"/>
      <c r="G701" s="102"/>
      <c r="H701" s="102"/>
      <c r="I701" s="102"/>
      <c r="J701" s="102"/>
      <c r="K701" s="102"/>
      <c r="L701" s="101"/>
    </row>
    <row r="702" spans="1:12" ht="16">
      <c r="A702" s="2"/>
      <c r="B702" s="7"/>
      <c r="C702" s="17"/>
      <c r="D702" s="55"/>
      <c r="E702" s="108"/>
      <c r="F702" s="102"/>
      <c r="G702" s="102"/>
      <c r="H702" s="102"/>
      <c r="I702" s="102"/>
      <c r="J702" s="102"/>
      <c r="K702" s="102"/>
      <c r="L702" s="101"/>
    </row>
    <row r="703" spans="1:12" ht="16">
      <c r="A703" s="2"/>
      <c r="B703" s="7"/>
      <c r="C703" s="17"/>
      <c r="D703" s="55"/>
      <c r="E703" s="108"/>
      <c r="F703" s="102"/>
      <c r="G703" s="102"/>
      <c r="H703" s="102"/>
      <c r="I703" s="102"/>
      <c r="J703" s="102"/>
      <c r="K703" s="102"/>
      <c r="L703" s="101"/>
    </row>
    <row r="704" spans="1:12" ht="16">
      <c r="A704" s="2"/>
      <c r="B704" s="7"/>
      <c r="C704" s="17"/>
      <c r="D704" s="55"/>
      <c r="E704" s="108"/>
      <c r="F704" s="102"/>
      <c r="G704" s="102"/>
      <c r="H704" s="102"/>
      <c r="I704" s="102"/>
      <c r="J704" s="102"/>
      <c r="K704" s="102"/>
      <c r="L704" s="101"/>
    </row>
    <row r="705" spans="1:12" ht="16">
      <c r="A705" s="2"/>
      <c r="B705" s="7"/>
      <c r="C705" s="17"/>
      <c r="D705" s="55"/>
      <c r="E705" s="108"/>
      <c r="F705" s="102"/>
      <c r="G705" s="102"/>
      <c r="H705" s="102"/>
      <c r="I705" s="102"/>
      <c r="J705" s="102"/>
      <c r="K705" s="102"/>
      <c r="L705" s="101"/>
    </row>
    <row r="706" spans="1:12" ht="16">
      <c r="A706" s="2"/>
      <c r="B706" s="7"/>
      <c r="C706" s="17"/>
      <c r="D706" s="55"/>
      <c r="E706" s="108"/>
      <c r="F706" s="102"/>
      <c r="G706" s="102"/>
      <c r="H706" s="102"/>
      <c r="I706" s="102"/>
      <c r="J706" s="102"/>
      <c r="K706" s="102"/>
      <c r="L706" s="101"/>
    </row>
    <row r="707" spans="1:12" ht="16">
      <c r="A707" s="2"/>
      <c r="B707" s="7"/>
      <c r="C707" s="17"/>
      <c r="D707" s="55"/>
      <c r="E707" s="108"/>
      <c r="F707" s="102"/>
      <c r="G707" s="102"/>
      <c r="H707" s="102"/>
      <c r="I707" s="102"/>
      <c r="J707" s="102"/>
      <c r="K707" s="102"/>
      <c r="L707" s="101"/>
    </row>
    <row r="708" spans="1:12" ht="16">
      <c r="A708" s="2"/>
      <c r="B708" s="7"/>
      <c r="C708" s="17"/>
      <c r="D708" s="55"/>
      <c r="E708" s="108"/>
      <c r="F708" s="102"/>
      <c r="G708" s="102"/>
      <c r="H708" s="102"/>
      <c r="I708" s="102"/>
      <c r="J708" s="102"/>
      <c r="K708" s="102"/>
      <c r="L708" s="101"/>
    </row>
    <row r="709" spans="1:12" ht="16">
      <c r="A709" s="2"/>
      <c r="B709" s="7"/>
      <c r="C709" s="17"/>
      <c r="D709" s="55"/>
      <c r="E709" s="108"/>
      <c r="F709" s="102"/>
      <c r="G709" s="102"/>
      <c r="H709" s="102"/>
      <c r="I709" s="102"/>
      <c r="J709" s="102"/>
      <c r="K709" s="102"/>
      <c r="L709" s="101"/>
    </row>
    <row r="710" spans="1:12" ht="16">
      <c r="A710" s="2"/>
      <c r="B710" s="7"/>
      <c r="C710" s="17"/>
      <c r="D710" s="55"/>
      <c r="E710" s="108"/>
      <c r="F710" s="102"/>
      <c r="G710" s="102"/>
      <c r="H710" s="102"/>
      <c r="I710" s="102"/>
      <c r="J710" s="102"/>
      <c r="K710" s="102"/>
      <c r="L710" s="101"/>
    </row>
    <row r="711" spans="1:12" ht="16">
      <c r="A711" s="2"/>
      <c r="B711" s="7"/>
      <c r="C711" s="17"/>
      <c r="D711" s="55"/>
      <c r="E711" s="108"/>
      <c r="F711" s="102"/>
      <c r="G711" s="102"/>
      <c r="H711" s="102"/>
      <c r="I711" s="102"/>
      <c r="J711" s="102"/>
      <c r="K711" s="102"/>
      <c r="L711" s="101"/>
    </row>
    <row r="712" spans="1:12" ht="16">
      <c r="A712" s="2"/>
      <c r="B712" s="7"/>
      <c r="C712" s="17"/>
      <c r="D712" s="55"/>
      <c r="E712" s="108"/>
      <c r="F712" s="102"/>
      <c r="G712" s="102"/>
      <c r="H712" s="102"/>
      <c r="I712" s="102"/>
      <c r="J712" s="102"/>
      <c r="K712" s="102"/>
      <c r="L712" s="101"/>
    </row>
    <row r="713" spans="1:12" ht="16">
      <c r="A713" s="2"/>
      <c r="B713" s="7"/>
      <c r="C713" s="17"/>
      <c r="D713" s="55"/>
      <c r="E713" s="108"/>
      <c r="F713" s="102"/>
      <c r="G713" s="102"/>
      <c r="H713" s="102"/>
      <c r="I713" s="102"/>
      <c r="J713" s="102"/>
      <c r="K713" s="102"/>
      <c r="L713" s="101"/>
    </row>
    <row r="714" spans="1:12" ht="16">
      <c r="A714" s="2"/>
      <c r="B714" s="7"/>
      <c r="C714" s="17"/>
      <c r="D714" s="55"/>
      <c r="E714" s="108"/>
      <c r="F714" s="102"/>
      <c r="G714" s="102"/>
      <c r="H714" s="102"/>
      <c r="I714" s="102"/>
      <c r="J714" s="102"/>
      <c r="K714" s="102"/>
      <c r="L714" s="101"/>
    </row>
    <row r="715" spans="1:12" ht="16">
      <c r="A715" s="2"/>
      <c r="B715" s="7"/>
      <c r="C715" s="17"/>
      <c r="D715" s="55"/>
      <c r="E715" s="108"/>
      <c r="F715" s="102"/>
      <c r="G715" s="102"/>
      <c r="H715" s="102"/>
      <c r="I715" s="102"/>
      <c r="J715" s="102"/>
      <c r="K715" s="102"/>
      <c r="L715" s="101"/>
    </row>
    <row r="716" spans="1:12" ht="16">
      <c r="A716" s="2"/>
      <c r="B716" s="7"/>
      <c r="C716" s="17"/>
      <c r="D716" s="55"/>
      <c r="E716" s="108"/>
      <c r="F716" s="102"/>
      <c r="G716" s="102"/>
      <c r="H716" s="102"/>
      <c r="I716" s="102"/>
      <c r="J716" s="102"/>
      <c r="K716" s="102"/>
      <c r="L716" s="101"/>
    </row>
    <row r="717" spans="1:12" ht="16">
      <c r="A717" s="2"/>
      <c r="B717" s="7"/>
      <c r="C717" s="17"/>
      <c r="D717" s="55"/>
      <c r="E717" s="108"/>
      <c r="F717" s="102"/>
      <c r="G717" s="102"/>
      <c r="H717" s="102"/>
      <c r="I717" s="102"/>
      <c r="J717" s="102"/>
      <c r="K717" s="102"/>
      <c r="L717" s="101"/>
    </row>
    <row r="718" spans="1:12" ht="16">
      <c r="A718" s="2"/>
      <c r="B718" s="7"/>
      <c r="C718" s="17"/>
      <c r="D718" s="55"/>
      <c r="E718" s="108"/>
      <c r="F718" s="102"/>
      <c r="G718" s="102"/>
      <c r="H718" s="102"/>
      <c r="I718" s="102"/>
      <c r="J718" s="102"/>
      <c r="K718" s="102"/>
      <c r="L718" s="101"/>
    </row>
    <row r="719" spans="1:12" ht="16">
      <c r="A719" s="2"/>
      <c r="B719" s="7"/>
      <c r="C719" s="17"/>
      <c r="D719" s="55"/>
      <c r="E719" s="108"/>
      <c r="F719" s="102"/>
      <c r="G719" s="102"/>
      <c r="H719" s="102"/>
      <c r="I719" s="102"/>
      <c r="J719" s="102"/>
      <c r="K719" s="102"/>
      <c r="L719" s="101"/>
    </row>
    <row r="720" spans="1:12" ht="16">
      <c r="A720" s="2"/>
      <c r="B720" s="7"/>
      <c r="C720" s="17"/>
      <c r="D720" s="55"/>
      <c r="E720" s="108"/>
      <c r="F720" s="102"/>
      <c r="G720" s="102"/>
      <c r="H720" s="102"/>
      <c r="I720" s="102"/>
      <c r="J720" s="102"/>
      <c r="K720" s="102"/>
      <c r="L720" s="101"/>
    </row>
    <row r="721" spans="1:12" ht="16">
      <c r="A721" s="2"/>
      <c r="B721" s="7"/>
      <c r="C721" s="17"/>
      <c r="D721" s="55"/>
      <c r="E721" s="108"/>
      <c r="F721" s="102"/>
      <c r="G721" s="102"/>
      <c r="H721" s="102"/>
      <c r="I721" s="102"/>
      <c r="J721" s="102"/>
      <c r="K721" s="102"/>
      <c r="L721" s="101"/>
    </row>
    <row r="722" spans="1:12" ht="16">
      <c r="A722" s="2"/>
      <c r="B722" s="7"/>
      <c r="C722" s="17"/>
      <c r="D722" s="55"/>
      <c r="E722" s="108"/>
      <c r="F722" s="102"/>
      <c r="G722" s="102"/>
      <c r="H722" s="102"/>
      <c r="I722" s="102"/>
      <c r="J722" s="102"/>
      <c r="K722" s="102"/>
      <c r="L722" s="101"/>
    </row>
    <row r="723" spans="1:12" ht="16">
      <c r="A723" s="2"/>
      <c r="B723" s="7"/>
      <c r="C723" s="17"/>
      <c r="D723" s="55"/>
      <c r="E723" s="108"/>
      <c r="F723" s="102"/>
      <c r="G723" s="102"/>
      <c r="H723" s="102"/>
      <c r="I723" s="102"/>
      <c r="J723" s="102"/>
      <c r="K723" s="102"/>
      <c r="L723" s="101"/>
    </row>
    <row r="724" spans="1:12" ht="16">
      <c r="A724" s="2"/>
      <c r="B724" s="7"/>
      <c r="C724" s="17"/>
      <c r="D724" s="55"/>
      <c r="E724" s="108"/>
      <c r="F724" s="102"/>
      <c r="G724" s="102"/>
      <c r="H724" s="102"/>
      <c r="I724" s="102"/>
      <c r="J724" s="102"/>
      <c r="K724" s="102"/>
      <c r="L724" s="101"/>
    </row>
    <row r="725" spans="1:12" ht="16">
      <c r="A725" s="2"/>
      <c r="B725" s="7"/>
      <c r="C725" s="17"/>
      <c r="D725" s="55"/>
      <c r="E725" s="108"/>
      <c r="F725" s="102"/>
      <c r="G725" s="102"/>
      <c r="H725" s="102"/>
      <c r="I725" s="102"/>
      <c r="J725" s="102"/>
      <c r="K725" s="102"/>
      <c r="L725" s="101"/>
    </row>
    <row r="726" spans="1:12" ht="16">
      <c r="A726" s="2"/>
      <c r="B726" s="7"/>
      <c r="C726" s="17"/>
      <c r="D726" s="55"/>
      <c r="E726" s="108"/>
      <c r="F726" s="102"/>
      <c r="G726" s="102"/>
      <c r="H726" s="102"/>
      <c r="I726" s="102"/>
      <c r="J726" s="102"/>
      <c r="K726" s="102"/>
      <c r="L726" s="101"/>
    </row>
    <row r="727" spans="1:12" ht="16">
      <c r="A727" s="2"/>
      <c r="B727" s="7"/>
      <c r="C727" s="17"/>
      <c r="D727" s="55"/>
      <c r="E727" s="108"/>
      <c r="F727" s="102"/>
      <c r="G727" s="102"/>
      <c r="H727" s="102"/>
      <c r="I727" s="102"/>
      <c r="J727" s="102"/>
      <c r="K727" s="102"/>
      <c r="L727" s="101"/>
    </row>
    <row r="728" spans="1:12" ht="16">
      <c r="A728" s="2"/>
      <c r="B728" s="7"/>
      <c r="C728" s="17"/>
      <c r="D728" s="55"/>
      <c r="E728" s="108"/>
      <c r="F728" s="102"/>
      <c r="G728" s="102"/>
      <c r="H728" s="102"/>
      <c r="I728" s="102"/>
      <c r="J728" s="102"/>
      <c r="K728" s="102"/>
      <c r="L728" s="101"/>
    </row>
    <row r="729" spans="1:12" ht="16">
      <c r="A729" s="2"/>
      <c r="B729" s="7"/>
      <c r="C729" s="17"/>
      <c r="D729" s="55"/>
      <c r="E729" s="108"/>
      <c r="F729" s="102"/>
      <c r="G729" s="102"/>
      <c r="H729" s="102"/>
      <c r="I729" s="102"/>
      <c r="J729" s="102"/>
      <c r="K729" s="102"/>
      <c r="L729" s="101"/>
    </row>
    <row r="730" spans="1:12" ht="16">
      <c r="A730" s="2"/>
      <c r="B730" s="7"/>
      <c r="C730" s="17"/>
      <c r="D730" s="55"/>
      <c r="E730" s="108"/>
      <c r="F730" s="102"/>
      <c r="G730" s="102"/>
      <c r="H730" s="102"/>
      <c r="I730" s="102"/>
      <c r="J730" s="102"/>
      <c r="K730" s="102"/>
      <c r="L730" s="101"/>
    </row>
    <row r="731" spans="1:12" ht="16">
      <c r="A731" s="2"/>
      <c r="B731" s="7"/>
      <c r="C731" s="17"/>
      <c r="D731" s="55"/>
      <c r="E731" s="108"/>
      <c r="F731" s="102"/>
      <c r="G731" s="102"/>
      <c r="H731" s="102"/>
      <c r="I731" s="102"/>
      <c r="J731" s="102"/>
      <c r="K731" s="102"/>
      <c r="L731" s="101"/>
    </row>
    <row r="732" spans="1:12" ht="16">
      <c r="A732" s="2"/>
      <c r="B732" s="7"/>
      <c r="C732" s="17"/>
      <c r="D732" s="55"/>
      <c r="E732" s="108"/>
      <c r="F732" s="102"/>
      <c r="G732" s="102"/>
      <c r="H732" s="102"/>
      <c r="I732" s="102"/>
      <c r="J732" s="102"/>
      <c r="K732" s="102"/>
      <c r="L732" s="101"/>
    </row>
    <row r="733" spans="1:12" ht="16">
      <c r="A733" s="2"/>
      <c r="B733" s="7"/>
      <c r="C733" s="17"/>
      <c r="D733" s="55"/>
      <c r="E733" s="108"/>
      <c r="F733" s="102"/>
      <c r="G733" s="102"/>
      <c r="H733" s="102"/>
      <c r="I733" s="102"/>
      <c r="J733" s="102"/>
      <c r="K733" s="102"/>
      <c r="L733" s="101"/>
    </row>
    <row r="734" spans="1:12" ht="16">
      <c r="A734" s="2"/>
      <c r="B734" s="7"/>
      <c r="C734" s="17"/>
      <c r="D734" s="55"/>
      <c r="E734" s="108"/>
      <c r="F734" s="102"/>
      <c r="G734" s="102"/>
      <c r="H734" s="102"/>
      <c r="I734" s="102"/>
      <c r="J734" s="102"/>
      <c r="K734" s="102"/>
      <c r="L734" s="101"/>
    </row>
    <row r="735" spans="1:12" ht="16">
      <c r="A735" s="2"/>
      <c r="B735" s="7"/>
      <c r="C735" s="17"/>
      <c r="D735" s="55"/>
      <c r="E735" s="108"/>
      <c r="F735" s="102"/>
      <c r="G735" s="102"/>
      <c r="H735" s="102"/>
      <c r="I735" s="102"/>
      <c r="J735" s="102"/>
      <c r="K735" s="102"/>
      <c r="L735" s="101"/>
    </row>
    <row r="736" spans="1:12" ht="16">
      <c r="A736" s="2"/>
      <c r="B736" s="7"/>
      <c r="C736" s="17"/>
      <c r="D736" s="55"/>
      <c r="E736" s="108"/>
      <c r="F736" s="102"/>
      <c r="G736" s="102"/>
      <c r="H736" s="102"/>
      <c r="I736" s="102"/>
      <c r="J736" s="102"/>
      <c r="K736" s="102"/>
      <c r="L736" s="101"/>
    </row>
    <row r="737" spans="1:12" ht="16">
      <c r="A737" s="2"/>
      <c r="B737" s="7"/>
      <c r="C737" s="17"/>
      <c r="D737" s="55"/>
      <c r="E737" s="108"/>
      <c r="F737" s="102"/>
      <c r="G737" s="102"/>
      <c r="H737" s="102"/>
      <c r="I737" s="102"/>
      <c r="J737" s="102"/>
      <c r="K737" s="102"/>
      <c r="L737" s="101"/>
    </row>
    <row r="738" spans="1:12" ht="16">
      <c r="A738" s="2"/>
      <c r="B738" s="7"/>
      <c r="C738" s="17"/>
      <c r="D738" s="55"/>
      <c r="E738" s="108"/>
      <c r="F738" s="102"/>
      <c r="G738" s="102"/>
      <c r="H738" s="102"/>
      <c r="I738" s="102"/>
      <c r="J738" s="102"/>
      <c r="K738" s="102"/>
      <c r="L738" s="101"/>
    </row>
    <row r="739" spans="1:12" ht="16">
      <c r="A739" s="2"/>
      <c r="B739" s="7"/>
      <c r="C739" s="17"/>
      <c r="D739" s="55"/>
      <c r="E739" s="108"/>
      <c r="F739" s="102"/>
      <c r="G739" s="102"/>
      <c r="H739" s="102"/>
      <c r="I739" s="102"/>
      <c r="J739" s="102"/>
      <c r="K739" s="102"/>
      <c r="L739" s="101"/>
    </row>
    <row r="740" spans="1:12" ht="16">
      <c r="A740" s="2"/>
      <c r="B740" s="7"/>
      <c r="C740" s="17"/>
      <c r="D740" s="55"/>
      <c r="E740" s="108"/>
      <c r="F740" s="102"/>
      <c r="G740" s="102"/>
      <c r="H740" s="102"/>
      <c r="I740" s="102"/>
      <c r="J740" s="102"/>
      <c r="K740" s="102"/>
      <c r="L740" s="101"/>
    </row>
    <row r="741" spans="1:12" ht="16">
      <c r="A741" s="2"/>
      <c r="B741" s="7"/>
      <c r="C741" s="17"/>
      <c r="D741" s="55"/>
      <c r="E741" s="108"/>
      <c r="F741" s="102"/>
      <c r="G741" s="102"/>
      <c r="H741" s="102"/>
      <c r="I741" s="102"/>
      <c r="J741" s="102"/>
      <c r="K741" s="102"/>
      <c r="L741" s="101"/>
    </row>
  </sheetData>
  <autoFilter ref="A10:M149" xr:uid="{5CAC6739-4B4A-4767-9BD4-981D788A09C0}"/>
  <mergeCells count="15">
    <mergeCell ref="L8:L9"/>
    <mergeCell ref="F152:K152"/>
    <mergeCell ref="A4:L4"/>
    <mergeCell ref="A5:L5"/>
    <mergeCell ref="A8:A9"/>
    <mergeCell ref="B8:B9"/>
    <mergeCell ref="C8:C9"/>
    <mergeCell ref="D8:D9"/>
    <mergeCell ref="E8:E9"/>
    <mergeCell ref="F8:G8"/>
    <mergeCell ref="A1:K1"/>
    <mergeCell ref="A2:K2"/>
    <mergeCell ref="A3:K3"/>
    <mergeCell ref="H8:I8"/>
    <mergeCell ref="J8:K8"/>
  </mergeCells>
  <printOptions horizontalCentered="1"/>
  <pageMargins left="0.11811023622047245" right="0.11811023622047245" top="0.39370078740157483" bottom="0.39370078740157483" header="0.43307086614173229" footer="0.19685039370078741"/>
  <pageSetup paperSize="9" scale="38" orientation="landscape" cellComments="asDisplayed" useFirstPageNumber="1" r:id="rId1"/>
  <headerFooter alignWithMargins="0">
    <oddFooter>&amp;RPage &amp;P of &amp;N</oddFooter>
  </headerFooter>
  <rowBreaks count="1" manualBreakCount="1">
    <brk id="17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127BF-BEF0-4087-93EB-4A520CF6B004}">
  <sheetPr>
    <tabColor rgb="FFFFC000"/>
  </sheetPr>
  <dimension ref="A1:BU151"/>
  <sheetViews>
    <sheetView topLeftCell="A110" zoomScale="60" zoomScaleNormal="60" zoomScaleSheetLayoutView="57" workbookViewId="0">
      <selection activeCell="C120" sqref="C120"/>
    </sheetView>
  </sheetViews>
  <sheetFormatPr defaultColWidth="63" defaultRowHeight="13"/>
  <cols>
    <col min="1" max="1" width="8.1796875" style="203" bestFit="1" customWidth="1"/>
    <col min="2" max="2" width="56.26953125" style="203" customWidth="1"/>
    <col min="3" max="4" width="11.1796875" style="203" customWidth="1"/>
    <col min="5" max="5" width="12.453125" style="204" customWidth="1"/>
    <col min="6" max="6" width="13" style="204" bestFit="1" customWidth="1"/>
    <col min="7" max="7" width="17" style="204" bestFit="1" customWidth="1"/>
    <col min="8" max="8" width="10.26953125" style="204" customWidth="1"/>
    <col min="9" max="9" width="16.26953125" style="204" bestFit="1" customWidth="1"/>
    <col min="10" max="10" width="10.81640625" style="204" customWidth="1"/>
    <col min="11" max="11" width="12.81640625" style="204" bestFit="1" customWidth="1"/>
    <col min="12" max="12" width="18.81640625" style="204" bestFit="1" customWidth="1"/>
    <col min="13" max="13" width="14.453125" style="203" customWidth="1"/>
    <col min="14" max="16" width="14.453125" style="203" hidden="1" customWidth="1"/>
    <col min="17" max="17" width="0" style="203" hidden="1" customWidth="1"/>
    <col min="18" max="18" width="63" style="459"/>
    <col min="19" max="16384" width="63" style="203"/>
  </cols>
  <sheetData>
    <row r="1" spans="1:18" s="289" customFormat="1" ht="51" customHeight="1">
      <c r="A1" s="475" t="s">
        <v>200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R1" s="456"/>
    </row>
    <row r="2" spans="1:18" s="289" customFormat="1" ht="32.25" customHeight="1">
      <c r="A2" s="475" t="str">
        <f>ნაერთი!A4</f>
        <v>ქ. გორი, ცხინვალის გზატკეცილის მე-2 კილომეტრი (ს/ნ: 66.46.07.495) - ავერსის კლინიკის შენობა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  <c r="R2" s="456"/>
    </row>
    <row r="3" spans="1:18" s="289" customFormat="1" ht="30" customHeight="1">
      <c r="A3" s="475" t="s">
        <v>201</v>
      </c>
      <c r="B3" s="475"/>
      <c r="C3" s="475"/>
      <c r="D3" s="475"/>
      <c r="E3" s="475"/>
      <c r="F3" s="475"/>
      <c r="G3" s="475"/>
      <c r="H3" s="475"/>
      <c r="I3" s="475"/>
      <c r="J3" s="475"/>
      <c r="K3" s="475"/>
      <c r="R3" s="456"/>
    </row>
    <row r="4" spans="1:18" s="1" customFormat="1" ht="42" customHeight="1">
      <c r="A4" s="477"/>
      <c r="B4" s="477"/>
      <c r="C4" s="477"/>
      <c r="D4" s="477"/>
      <c r="E4" s="477"/>
      <c r="F4" s="477"/>
      <c r="G4" s="477"/>
      <c r="H4" s="477"/>
      <c r="I4" s="477"/>
      <c r="J4" s="477"/>
      <c r="K4" s="477"/>
      <c r="L4" s="477"/>
      <c r="R4" s="457"/>
    </row>
    <row r="5" spans="1:18" s="1" customFormat="1" ht="9" customHeight="1">
      <c r="A5" s="32"/>
      <c r="B5" s="3"/>
      <c r="C5" s="4"/>
      <c r="D5" s="51"/>
      <c r="E5" s="103"/>
      <c r="F5" s="96"/>
      <c r="G5" s="96"/>
      <c r="H5" s="109"/>
      <c r="I5" s="96"/>
      <c r="J5" s="96"/>
      <c r="K5" s="96"/>
      <c r="L5" s="96"/>
      <c r="R5" s="457"/>
    </row>
    <row r="6" spans="1:18" s="1" customFormat="1" ht="15" customHeight="1">
      <c r="A6" s="33"/>
      <c r="B6" s="18"/>
      <c r="C6" s="4"/>
      <c r="D6" s="51"/>
      <c r="E6" s="104"/>
      <c r="F6" s="97"/>
      <c r="G6" s="97"/>
      <c r="H6" s="110"/>
      <c r="I6" s="97"/>
      <c r="J6" s="97"/>
      <c r="K6" s="97"/>
      <c r="L6" s="97"/>
      <c r="R6" s="457"/>
    </row>
    <row r="7" spans="1:18" s="205" customFormat="1" ht="46.5" customHeight="1">
      <c r="A7" s="479" t="s">
        <v>0</v>
      </c>
      <c r="B7" s="480" t="s">
        <v>1</v>
      </c>
      <c r="C7" s="479" t="s">
        <v>20</v>
      </c>
      <c r="D7" s="481" t="s">
        <v>19</v>
      </c>
      <c r="E7" s="482" t="s">
        <v>2</v>
      </c>
      <c r="F7" s="476" t="s">
        <v>3</v>
      </c>
      <c r="G7" s="476"/>
      <c r="H7" s="476" t="s">
        <v>4</v>
      </c>
      <c r="I7" s="476"/>
      <c r="J7" s="476" t="s">
        <v>5</v>
      </c>
      <c r="K7" s="476"/>
      <c r="L7" s="476" t="s">
        <v>70</v>
      </c>
      <c r="R7" s="458"/>
    </row>
    <row r="8" spans="1:18" ht="46.5" customHeight="1">
      <c r="A8" s="479"/>
      <c r="B8" s="480"/>
      <c r="C8" s="479"/>
      <c r="D8" s="481"/>
      <c r="E8" s="482"/>
      <c r="F8" s="113" t="s">
        <v>6</v>
      </c>
      <c r="G8" s="171" t="s">
        <v>7</v>
      </c>
      <c r="H8" s="115" t="s">
        <v>6</v>
      </c>
      <c r="I8" s="171" t="s">
        <v>7</v>
      </c>
      <c r="J8" s="113" t="s">
        <v>6</v>
      </c>
      <c r="K8" s="171" t="s">
        <v>7</v>
      </c>
      <c r="L8" s="476"/>
    </row>
    <row r="9" spans="1:18" ht="13.5">
      <c r="A9" s="267">
        <v>1</v>
      </c>
      <c r="B9" s="267">
        <v>2</v>
      </c>
      <c r="C9" s="267">
        <v>3</v>
      </c>
      <c r="D9" s="267">
        <v>4</v>
      </c>
      <c r="E9" s="267">
        <v>5</v>
      </c>
      <c r="F9" s="267">
        <v>6</v>
      </c>
      <c r="G9" s="267">
        <v>7</v>
      </c>
      <c r="H9" s="267">
        <v>8</v>
      </c>
      <c r="I9" s="267">
        <v>9</v>
      </c>
      <c r="J9" s="267">
        <v>10</v>
      </c>
      <c r="K9" s="267">
        <v>11</v>
      </c>
      <c r="L9" s="267">
        <v>12</v>
      </c>
    </row>
    <row r="10" spans="1:18" s="208" customFormat="1" ht="36.75" customHeight="1">
      <c r="A10" s="206"/>
      <c r="B10" s="243" t="s">
        <v>157</v>
      </c>
      <c r="C10" s="206"/>
      <c r="D10" s="206"/>
      <c r="E10" s="207"/>
      <c r="F10" s="241"/>
      <c r="G10" s="241"/>
      <c r="H10" s="241"/>
      <c r="I10" s="241"/>
      <c r="J10" s="241"/>
      <c r="K10" s="241"/>
      <c r="L10" s="241"/>
      <c r="M10" s="534"/>
      <c r="N10" s="534"/>
      <c r="O10" s="534"/>
      <c r="P10" s="534"/>
      <c r="Q10" s="534"/>
      <c r="R10" s="535"/>
    </row>
    <row r="11" spans="1:18" s="251" customFormat="1" ht="26.25" customHeight="1">
      <c r="A11" s="244"/>
      <c r="B11" s="245" t="s">
        <v>152</v>
      </c>
      <c r="C11" s="246"/>
      <c r="D11" s="247"/>
      <c r="E11" s="247"/>
      <c r="F11" s="248"/>
      <c r="G11" s="248"/>
      <c r="H11" s="248"/>
      <c r="I11" s="248"/>
      <c r="J11" s="248"/>
      <c r="K11" s="248"/>
      <c r="L11" s="249"/>
      <c r="M11" s="250"/>
      <c r="R11" s="460"/>
    </row>
    <row r="12" spans="1:18" s="251" customFormat="1" ht="33" customHeight="1">
      <c r="A12" s="264">
        <v>1</v>
      </c>
      <c r="B12" s="262" t="s">
        <v>158</v>
      </c>
      <c r="C12" s="263" t="s">
        <v>28</v>
      </c>
      <c r="D12" s="215"/>
      <c r="E12" s="215">
        <f>340-E14</f>
        <v>306.25045899999998</v>
      </c>
      <c r="F12" s="536"/>
      <c r="G12" s="536"/>
      <c r="H12" s="536"/>
      <c r="I12" s="536"/>
      <c r="J12" s="58"/>
      <c r="K12" s="536"/>
      <c r="L12" s="536"/>
      <c r="M12" s="252"/>
      <c r="N12" s="253"/>
      <c r="O12" s="253"/>
      <c r="P12" s="254"/>
      <c r="R12" s="537"/>
    </row>
    <row r="13" spans="1:18" s="251" customFormat="1" ht="33" customHeight="1">
      <c r="A13" s="264">
        <v>2</v>
      </c>
      <c r="B13" s="262" t="s">
        <v>164</v>
      </c>
      <c r="C13" s="263" t="s">
        <v>39</v>
      </c>
      <c r="D13" s="215"/>
      <c r="E13" s="215">
        <f>E28+E56+E84*2</f>
        <v>272.94059999999996</v>
      </c>
      <c r="F13" s="536"/>
      <c r="G13" s="536"/>
      <c r="H13" s="536"/>
      <c r="I13" s="536"/>
      <c r="J13" s="536"/>
      <c r="K13" s="536"/>
      <c r="L13" s="536"/>
      <c r="M13" s="252"/>
      <c r="N13" s="253"/>
      <c r="O13" s="253"/>
      <c r="P13" s="254"/>
      <c r="R13" s="461"/>
    </row>
    <row r="14" spans="1:18" s="251" customFormat="1" ht="23.25" customHeight="1">
      <c r="A14" s="264">
        <v>3</v>
      </c>
      <c r="B14" s="262" t="s">
        <v>153</v>
      </c>
      <c r="C14" s="263" t="s">
        <v>28</v>
      </c>
      <c r="D14" s="215"/>
      <c r="E14" s="215">
        <v>33.749541000000001</v>
      </c>
      <c r="F14" s="536"/>
      <c r="G14" s="536"/>
      <c r="H14" s="536"/>
      <c r="I14" s="536"/>
      <c r="J14" s="536"/>
      <c r="K14" s="536"/>
      <c r="L14" s="536"/>
      <c r="M14" s="252"/>
      <c r="O14" s="254"/>
      <c r="P14" s="254"/>
      <c r="R14" s="79"/>
    </row>
    <row r="15" spans="1:18" s="251" customFormat="1" ht="45.75" customHeight="1">
      <c r="A15" s="264">
        <v>4</v>
      </c>
      <c r="B15" s="262" t="s">
        <v>154</v>
      </c>
      <c r="C15" s="263" t="s">
        <v>28</v>
      </c>
      <c r="D15" s="215">
        <v>1.3</v>
      </c>
      <c r="E15" s="468">
        <f>E14*D15</f>
        <v>43.874403300000004</v>
      </c>
      <c r="F15" s="536"/>
      <c r="G15" s="536"/>
      <c r="H15" s="536"/>
      <c r="I15" s="536"/>
      <c r="J15" s="536"/>
      <c r="K15" s="536"/>
      <c r="L15" s="536"/>
      <c r="M15" s="255"/>
      <c r="P15" s="254"/>
      <c r="R15" s="79"/>
    </row>
    <row r="16" spans="1:18" s="251" customFormat="1" ht="28.5" customHeight="1">
      <c r="A16" s="264">
        <v>5</v>
      </c>
      <c r="B16" s="262" t="s">
        <v>155</v>
      </c>
      <c r="C16" s="263" t="s">
        <v>28</v>
      </c>
      <c r="D16" s="215">
        <v>1.3</v>
      </c>
      <c r="E16" s="215">
        <f>E15</f>
        <v>43.874403300000004</v>
      </c>
      <c r="F16" s="536"/>
      <c r="G16" s="536"/>
      <c r="H16" s="536"/>
      <c r="I16" s="536"/>
      <c r="J16" s="58"/>
      <c r="K16" s="536"/>
      <c r="L16" s="536"/>
      <c r="M16" s="255"/>
      <c r="R16" s="537"/>
    </row>
    <row r="17" spans="1:73" s="22" customFormat="1" ht="43.5" customHeight="1">
      <c r="A17" s="264">
        <v>6</v>
      </c>
      <c r="B17" s="262" t="s">
        <v>160</v>
      </c>
      <c r="C17" s="263" t="s">
        <v>28</v>
      </c>
      <c r="D17" s="60"/>
      <c r="E17" s="60">
        <f>(E28+E56+E84)*0.3</f>
        <v>74.998979999999989</v>
      </c>
      <c r="F17" s="62"/>
      <c r="G17" s="62"/>
      <c r="H17" s="112"/>
      <c r="I17" s="62"/>
      <c r="J17" s="62"/>
      <c r="K17" s="62"/>
      <c r="L17" s="536"/>
      <c r="N17" s="79"/>
      <c r="O17" s="79"/>
      <c r="P17" s="79"/>
      <c r="Q17" s="79"/>
      <c r="R17" s="461"/>
    </row>
    <row r="18" spans="1:73" s="21" customFormat="1" ht="14.5">
      <c r="A18" s="20" t="s">
        <v>21</v>
      </c>
      <c r="B18" s="57" t="s">
        <v>24</v>
      </c>
      <c r="C18" s="58" t="s">
        <v>28</v>
      </c>
      <c r="D18" s="215">
        <v>1</v>
      </c>
      <c r="E18" s="215">
        <f>D18*E17</f>
        <v>74.998979999999989</v>
      </c>
      <c r="F18" s="536"/>
      <c r="G18" s="536"/>
      <c r="H18" s="536"/>
      <c r="I18" s="536"/>
      <c r="J18" s="536"/>
      <c r="K18" s="536"/>
      <c r="L18" s="536"/>
      <c r="M18" s="79"/>
      <c r="N18" s="79"/>
      <c r="O18" s="79"/>
      <c r="P18" s="79"/>
      <c r="Q18" s="79"/>
      <c r="R18" s="79"/>
    </row>
    <row r="19" spans="1:73" s="21" customFormat="1" ht="14.5">
      <c r="A19" s="20" t="s">
        <v>21</v>
      </c>
      <c r="B19" s="61" t="s">
        <v>161</v>
      </c>
      <c r="C19" s="58" t="s">
        <v>138</v>
      </c>
      <c r="D19" s="215">
        <v>1</v>
      </c>
      <c r="E19" s="215">
        <v>10</v>
      </c>
      <c r="F19" s="536"/>
      <c r="G19" s="536"/>
      <c r="H19" s="536"/>
      <c r="I19" s="536"/>
      <c r="J19" s="536"/>
      <c r="K19" s="536"/>
      <c r="L19" s="536"/>
      <c r="N19" s="79"/>
      <c r="O19" s="79"/>
      <c r="P19" s="79"/>
      <c r="Q19" s="79"/>
      <c r="R19" s="79"/>
    </row>
    <row r="20" spans="1:73" s="21" customFormat="1" ht="17">
      <c r="A20" s="20" t="s">
        <v>21</v>
      </c>
      <c r="B20" s="61" t="s">
        <v>162</v>
      </c>
      <c r="C20" s="58" t="s">
        <v>38</v>
      </c>
      <c r="D20" s="215">
        <v>4.4999999999999998E-2</v>
      </c>
      <c r="E20" s="215">
        <f>D20*E17</f>
        <v>3.3749540999999992</v>
      </c>
      <c r="F20" s="536"/>
      <c r="G20" s="536"/>
      <c r="H20" s="536"/>
      <c r="I20" s="536"/>
      <c r="J20" s="536"/>
      <c r="K20" s="536"/>
      <c r="L20" s="536"/>
      <c r="N20" s="79"/>
      <c r="O20" s="79"/>
      <c r="P20" s="79"/>
      <c r="Q20" s="79"/>
      <c r="R20" s="537"/>
    </row>
    <row r="21" spans="1:73" s="21" customFormat="1" ht="14.5">
      <c r="A21" s="20" t="s">
        <v>21</v>
      </c>
      <c r="B21" s="19" t="s">
        <v>66</v>
      </c>
      <c r="C21" s="58" t="s">
        <v>28</v>
      </c>
      <c r="D21" s="215">
        <v>1.24</v>
      </c>
      <c r="E21" s="215">
        <f>D21*E17</f>
        <v>92.998735199999985</v>
      </c>
      <c r="F21" s="536"/>
      <c r="G21" s="536"/>
      <c r="H21" s="536"/>
      <c r="I21" s="536"/>
      <c r="J21" s="536"/>
      <c r="K21" s="536"/>
      <c r="L21" s="536"/>
      <c r="N21" s="79"/>
      <c r="O21" s="79"/>
      <c r="P21" s="79"/>
      <c r="Q21" s="79"/>
      <c r="R21" s="79"/>
    </row>
    <row r="22" spans="1:73" s="21" customFormat="1" ht="14.5">
      <c r="A22" s="20" t="s">
        <v>21</v>
      </c>
      <c r="B22" s="19" t="s">
        <v>31</v>
      </c>
      <c r="C22" s="58" t="s">
        <v>28</v>
      </c>
      <c r="D22" s="215">
        <v>1</v>
      </c>
      <c r="E22" s="215">
        <f>D22*E17</f>
        <v>74.998979999999989</v>
      </c>
      <c r="F22" s="536"/>
      <c r="G22" s="536"/>
      <c r="H22" s="536"/>
      <c r="I22" s="536"/>
      <c r="J22" s="536"/>
      <c r="K22" s="536"/>
      <c r="L22" s="536"/>
      <c r="N22" s="79"/>
      <c r="O22" s="79"/>
      <c r="P22" s="79"/>
      <c r="Q22" s="79"/>
      <c r="R22" s="79"/>
    </row>
    <row r="23" spans="1:73" s="251" customFormat="1" ht="30.75" customHeight="1">
      <c r="A23" s="264">
        <f>A17+1</f>
        <v>7</v>
      </c>
      <c r="B23" s="262" t="s">
        <v>163</v>
      </c>
      <c r="C23" s="263" t="s">
        <v>28</v>
      </c>
      <c r="D23" s="215"/>
      <c r="E23" s="268">
        <f>(E28+E56+E84)*0.12</f>
        <v>29.999591999999996</v>
      </c>
      <c r="F23" s="536"/>
      <c r="G23" s="536"/>
      <c r="H23" s="536"/>
      <c r="I23" s="536"/>
      <c r="J23" s="536"/>
      <c r="K23" s="536"/>
      <c r="L23" s="536"/>
      <c r="M23" s="259"/>
      <c r="N23" s="260"/>
      <c r="O23" s="260"/>
      <c r="P23" s="260"/>
      <c r="Q23" s="260"/>
      <c r="R23" s="462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60"/>
      <c r="AP23" s="260"/>
      <c r="AQ23" s="260"/>
      <c r="AR23" s="260"/>
      <c r="AS23" s="260"/>
      <c r="AT23" s="260"/>
      <c r="AU23" s="260"/>
      <c r="AV23" s="260"/>
      <c r="AW23" s="260"/>
      <c r="AX23" s="260"/>
      <c r="AY23" s="260"/>
      <c r="AZ23" s="260"/>
      <c r="BA23" s="260"/>
      <c r="BB23" s="260"/>
      <c r="BC23" s="260"/>
      <c r="BD23" s="260"/>
      <c r="BE23" s="260"/>
      <c r="BF23" s="260"/>
      <c r="BG23" s="260"/>
      <c r="BH23" s="260"/>
      <c r="BI23" s="260"/>
      <c r="BJ23" s="260"/>
      <c r="BK23" s="260"/>
      <c r="BL23" s="260"/>
      <c r="BM23" s="260"/>
      <c r="BN23" s="260"/>
      <c r="BO23" s="260"/>
      <c r="BP23" s="260"/>
      <c r="BQ23" s="260"/>
      <c r="BR23" s="260"/>
      <c r="BS23" s="260"/>
      <c r="BT23" s="260"/>
      <c r="BU23" s="260"/>
    </row>
    <row r="24" spans="1:73" s="258" customFormat="1" ht="17">
      <c r="A24" s="229" t="s">
        <v>21</v>
      </c>
      <c r="B24" s="215" t="s">
        <v>156</v>
      </c>
      <c r="C24" s="229" t="s">
        <v>28</v>
      </c>
      <c r="D24" s="215">
        <v>1</v>
      </c>
      <c r="E24" s="215">
        <f>D24*E23</f>
        <v>29.999591999999996</v>
      </c>
      <c r="F24" s="536"/>
      <c r="G24" s="536"/>
      <c r="H24" s="536"/>
      <c r="I24" s="536"/>
      <c r="J24" s="536"/>
      <c r="K24" s="536"/>
      <c r="L24" s="536"/>
      <c r="M24" s="256"/>
      <c r="N24" s="257"/>
      <c r="O24" s="257"/>
      <c r="P24" s="257"/>
      <c r="Q24" s="257"/>
      <c r="R24" s="537"/>
      <c r="S24" s="257"/>
      <c r="T24" s="257"/>
      <c r="U24" s="257"/>
      <c r="V24" s="257"/>
      <c r="W24" s="257"/>
      <c r="X24" s="257"/>
      <c r="Y24" s="257"/>
      <c r="Z24" s="257"/>
      <c r="AA24" s="257"/>
      <c r="AB24" s="257"/>
      <c r="AC24" s="257"/>
      <c r="AD24" s="257"/>
      <c r="AE24" s="257"/>
      <c r="AF24" s="257"/>
      <c r="AG24" s="257"/>
      <c r="AH24" s="257"/>
      <c r="AI24" s="257"/>
      <c r="AJ24" s="257"/>
      <c r="AK24" s="257"/>
      <c r="AL24" s="257"/>
      <c r="AM24" s="257"/>
      <c r="AN24" s="257"/>
      <c r="AO24" s="257"/>
      <c r="AP24" s="257"/>
      <c r="AQ24" s="257"/>
      <c r="AR24" s="257"/>
      <c r="AS24" s="257"/>
      <c r="AT24" s="257"/>
      <c r="AU24" s="257"/>
      <c r="AV24" s="257"/>
      <c r="AW24" s="257"/>
      <c r="AX24" s="257"/>
      <c r="AY24" s="257"/>
      <c r="AZ24" s="257"/>
      <c r="BA24" s="257"/>
      <c r="BB24" s="257"/>
      <c r="BC24" s="257"/>
      <c r="BD24" s="257"/>
      <c r="BE24" s="257"/>
      <c r="BF24" s="257"/>
      <c r="BG24" s="257"/>
      <c r="BH24" s="257"/>
      <c r="BI24" s="257"/>
      <c r="BJ24" s="257"/>
      <c r="BK24" s="257"/>
      <c r="BL24" s="257"/>
      <c r="BM24" s="257"/>
      <c r="BN24" s="257"/>
      <c r="BO24" s="257"/>
      <c r="BP24" s="257"/>
      <c r="BQ24" s="257"/>
      <c r="BR24" s="257"/>
      <c r="BS24" s="257"/>
      <c r="BT24" s="257"/>
      <c r="BU24" s="257"/>
    </row>
    <row r="25" spans="1:73" s="258" customFormat="1" ht="17">
      <c r="A25" s="229" t="s">
        <v>21</v>
      </c>
      <c r="B25" s="215" t="s">
        <v>159</v>
      </c>
      <c r="C25" s="229" t="s">
        <v>28</v>
      </c>
      <c r="D25" s="215">
        <v>1.0149999999999999</v>
      </c>
      <c r="E25" s="215">
        <f>D25*E23</f>
        <v>30.449585879999994</v>
      </c>
      <c r="F25" s="536"/>
      <c r="G25" s="536"/>
      <c r="H25" s="536"/>
      <c r="I25" s="536"/>
      <c r="J25" s="536"/>
      <c r="K25" s="536"/>
      <c r="L25" s="536"/>
      <c r="M25" s="256"/>
      <c r="N25" s="257"/>
      <c r="O25" s="257"/>
      <c r="P25" s="257"/>
      <c r="Q25" s="257"/>
      <c r="R25" s="538"/>
      <c r="S25" s="257"/>
      <c r="T25" s="257"/>
      <c r="U25" s="257"/>
      <c r="V25" s="257"/>
      <c r="W25" s="257"/>
      <c r="X25" s="257"/>
      <c r="Y25" s="257"/>
      <c r="Z25" s="257"/>
      <c r="AA25" s="257"/>
      <c r="AB25" s="257"/>
      <c r="AC25" s="257"/>
      <c r="AD25" s="257"/>
      <c r="AE25" s="257"/>
      <c r="AF25" s="257"/>
      <c r="AG25" s="257"/>
      <c r="AH25" s="257"/>
      <c r="AI25" s="257"/>
      <c r="AJ25" s="257"/>
      <c r="AK25" s="257"/>
      <c r="AL25" s="257"/>
      <c r="AM25" s="257"/>
      <c r="AN25" s="257"/>
      <c r="AO25" s="257"/>
      <c r="AP25" s="257"/>
      <c r="AQ25" s="257"/>
      <c r="AR25" s="257"/>
      <c r="AS25" s="257"/>
      <c r="AT25" s="257"/>
      <c r="AU25" s="257"/>
      <c r="AV25" s="257"/>
      <c r="AW25" s="257"/>
      <c r="AX25" s="257"/>
      <c r="AY25" s="257"/>
      <c r="AZ25" s="257"/>
      <c r="BA25" s="257"/>
      <c r="BB25" s="257"/>
      <c r="BC25" s="257"/>
      <c r="BD25" s="257"/>
      <c r="BE25" s="257"/>
      <c r="BF25" s="257"/>
      <c r="BG25" s="257"/>
      <c r="BH25" s="257"/>
      <c r="BI25" s="257"/>
      <c r="BJ25" s="257"/>
      <c r="BK25" s="257"/>
      <c r="BL25" s="257"/>
      <c r="BM25" s="257"/>
      <c r="BN25" s="257"/>
      <c r="BO25" s="257"/>
      <c r="BP25" s="257"/>
      <c r="BQ25" s="257"/>
      <c r="BR25" s="257"/>
      <c r="BS25" s="257"/>
      <c r="BT25" s="257"/>
      <c r="BU25" s="257"/>
    </row>
    <row r="26" spans="1:73" s="208" customFormat="1" ht="32.25" customHeight="1">
      <c r="A26" s="206"/>
      <c r="B26" s="242" t="s">
        <v>141</v>
      </c>
      <c r="C26" s="206"/>
      <c r="D26" s="215"/>
      <c r="E26" s="215"/>
      <c r="F26" s="536"/>
      <c r="G26" s="536"/>
      <c r="H26" s="536"/>
      <c r="I26" s="536"/>
      <c r="J26" s="536"/>
      <c r="K26" s="536"/>
      <c r="L26" s="536"/>
      <c r="M26" s="534"/>
      <c r="N26" s="534"/>
      <c r="O26" s="534"/>
      <c r="P26" s="534"/>
      <c r="Q26" s="534"/>
      <c r="R26" s="535"/>
    </row>
    <row r="27" spans="1:73" s="210" customFormat="1" ht="39.75" customHeight="1">
      <c r="A27" s="261">
        <f>A23+1</f>
        <v>8</v>
      </c>
      <c r="B27" s="209" t="s">
        <v>142</v>
      </c>
      <c r="C27" s="206" t="s">
        <v>130</v>
      </c>
      <c r="D27" s="206"/>
      <c r="E27" s="207">
        <f>'თბოქსელი მოცულობები'!E6</f>
        <v>20.981439999999999</v>
      </c>
      <c r="F27" s="241"/>
      <c r="G27" s="241"/>
      <c r="H27" s="241"/>
      <c r="I27" s="241"/>
      <c r="J27" s="241"/>
      <c r="K27" s="241"/>
      <c r="L27" s="536"/>
      <c r="M27" s="539"/>
      <c r="N27" s="540"/>
      <c r="O27" s="539"/>
      <c r="P27" s="539"/>
      <c r="Q27" s="539"/>
      <c r="R27" s="541"/>
    </row>
    <row r="28" spans="1:73" s="214" customFormat="1" ht="14.5">
      <c r="A28" s="211" t="s">
        <v>21</v>
      </c>
      <c r="B28" s="212" t="s">
        <v>4</v>
      </c>
      <c r="C28" s="211" t="s">
        <v>39</v>
      </c>
      <c r="D28" s="211">
        <v>1</v>
      </c>
      <c r="E28" s="213">
        <f>'თბოქსელი მოცულობები'!M6</f>
        <v>105.184</v>
      </c>
      <c r="F28" s="226"/>
      <c r="G28" s="226"/>
      <c r="H28" s="226"/>
      <c r="I28" s="226"/>
      <c r="J28" s="226"/>
      <c r="K28" s="226"/>
      <c r="L28" s="536"/>
      <c r="M28" s="542"/>
      <c r="N28" s="543"/>
      <c r="O28" s="544"/>
      <c r="P28" s="544"/>
      <c r="Q28" s="544"/>
      <c r="R28" s="79"/>
    </row>
    <row r="29" spans="1:73" s="214" customFormat="1" ht="14.5">
      <c r="A29" s="211" t="s">
        <v>21</v>
      </c>
      <c r="B29" s="215" t="s">
        <v>131</v>
      </c>
      <c r="C29" s="211" t="s">
        <v>130</v>
      </c>
      <c r="D29" s="211">
        <v>1.0149999999999999</v>
      </c>
      <c r="E29" s="216">
        <f>D29*E27</f>
        <v>21.296161599999998</v>
      </c>
      <c r="F29" s="226"/>
      <c r="G29" s="545"/>
      <c r="H29" s="226"/>
      <c r="I29" s="545"/>
      <c r="J29" s="226"/>
      <c r="K29" s="545"/>
      <c r="L29" s="536"/>
      <c r="M29" s="542"/>
      <c r="N29" s="544"/>
      <c r="O29" s="544"/>
      <c r="P29" s="544"/>
      <c r="Q29" s="544"/>
      <c r="R29" s="79"/>
    </row>
    <row r="30" spans="1:73" s="214" customFormat="1" ht="17">
      <c r="A30" s="211" t="s">
        <v>21</v>
      </c>
      <c r="B30" s="215" t="s">
        <v>140</v>
      </c>
      <c r="C30" s="211" t="s">
        <v>130</v>
      </c>
      <c r="D30" s="211">
        <f>D29</f>
        <v>1.0149999999999999</v>
      </c>
      <c r="E30" s="216">
        <f>D30*E27</f>
        <v>21.296161599999998</v>
      </c>
      <c r="F30" s="226"/>
      <c r="G30" s="545"/>
      <c r="H30" s="226"/>
      <c r="I30" s="545"/>
      <c r="J30" s="226"/>
      <c r="K30" s="545"/>
      <c r="L30" s="536"/>
      <c r="M30" s="544"/>
      <c r="N30" s="544"/>
      <c r="O30" s="544"/>
      <c r="P30" s="544"/>
      <c r="Q30" s="544"/>
      <c r="R30" s="537"/>
    </row>
    <row r="31" spans="1:73" s="214" customFormat="1" ht="14.5">
      <c r="A31" s="211" t="s">
        <v>21</v>
      </c>
      <c r="B31" s="212" t="s">
        <v>132</v>
      </c>
      <c r="C31" s="211" t="s">
        <v>130</v>
      </c>
      <c r="D31" s="211">
        <v>1</v>
      </c>
      <c r="E31" s="213">
        <f>D31*E27</f>
        <v>20.981439999999999</v>
      </c>
      <c r="F31" s="226"/>
      <c r="G31" s="226"/>
      <c r="H31" s="226"/>
      <c r="I31" s="226"/>
      <c r="J31" s="226"/>
      <c r="K31" s="226"/>
      <c r="L31" s="536"/>
      <c r="M31" s="544"/>
      <c r="N31" s="544"/>
      <c r="O31" s="544"/>
      <c r="P31" s="544"/>
      <c r="Q31" s="544"/>
      <c r="R31" s="79"/>
    </row>
    <row r="32" spans="1:73" s="214" customFormat="1" ht="14.5">
      <c r="A32" s="211" t="s">
        <v>21</v>
      </c>
      <c r="B32" s="212" t="s">
        <v>133</v>
      </c>
      <c r="C32" s="211" t="s">
        <v>134</v>
      </c>
      <c r="D32" s="211"/>
      <c r="E32" s="213">
        <f>E33+E34</f>
        <v>2.0321548800000002</v>
      </c>
      <c r="F32" s="226"/>
      <c r="G32" s="226"/>
      <c r="H32" s="226"/>
      <c r="I32" s="226"/>
      <c r="J32" s="226"/>
      <c r="K32" s="226"/>
      <c r="L32" s="536"/>
      <c r="M32" s="544"/>
      <c r="N32" s="544"/>
      <c r="O32" s="544"/>
      <c r="P32" s="544"/>
      <c r="Q32" s="544"/>
      <c r="R32" s="546"/>
    </row>
    <row r="33" spans="1:18" s="214" customFormat="1" ht="17">
      <c r="A33" s="211" t="s">
        <v>21</v>
      </c>
      <c r="B33" s="217" t="s">
        <v>146</v>
      </c>
      <c r="C33" s="211" t="s">
        <v>134</v>
      </c>
      <c r="D33" s="211">
        <v>1.05</v>
      </c>
      <c r="E33" s="213">
        <f>D33*E28*1.4/1000</f>
        <v>0.15462047999999998</v>
      </c>
      <c r="F33" s="226"/>
      <c r="G33" s="226"/>
      <c r="H33" s="226"/>
      <c r="I33" s="226"/>
      <c r="J33" s="226"/>
      <c r="K33" s="226"/>
      <c r="L33" s="536"/>
      <c r="M33" s="544"/>
      <c r="N33" s="544"/>
      <c r="O33" s="544"/>
      <c r="P33" s="544"/>
      <c r="Q33" s="544"/>
      <c r="R33" s="537"/>
    </row>
    <row r="34" spans="1:18" s="214" customFormat="1" ht="17">
      <c r="A34" s="211" t="s">
        <v>21</v>
      </c>
      <c r="B34" s="217" t="s">
        <v>147</v>
      </c>
      <c r="C34" s="211" t="s">
        <v>134</v>
      </c>
      <c r="D34" s="211">
        <v>1.05</v>
      </c>
      <c r="E34" s="213">
        <f>D34*E28*17/1000</f>
        <v>1.8775344</v>
      </c>
      <c r="F34" s="226"/>
      <c r="G34" s="226"/>
      <c r="H34" s="226"/>
      <c r="I34" s="226"/>
      <c r="J34" s="226"/>
      <c r="K34" s="226"/>
      <c r="L34" s="536"/>
      <c r="M34" s="544"/>
      <c r="N34" s="544"/>
      <c r="O34" s="544"/>
      <c r="P34" s="544"/>
      <c r="Q34" s="544"/>
      <c r="R34" s="537"/>
    </row>
    <row r="35" spans="1:18" s="214" customFormat="1" ht="14.5">
      <c r="A35" s="211"/>
      <c r="B35" s="217" t="s">
        <v>145</v>
      </c>
      <c r="C35" s="211" t="s">
        <v>130</v>
      </c>
      <c r="D35" s="211">
        <v>1</v>
      </c>
      <c r="E35" s="213">
        <f>D35*E27</f>
        <v>20.981439999999999</v>
      </c>
      <c r="F35" s="226"/>
      <c r="G35" s="226"/>
      <c r="H35" s="226"/>
      <c r="I35" s="226"/>
      <c r="J35" s="226"/>
      <c r="K35" s="226"/>
      <c r="L35" s="536"/>
      <c r="M35" s="544"/>
      <c r="N35" s="544"/>
      <c r="O35" s="544"/>
      <c r="P35" s="544"/>
      <c r="Q35" s="544"/>
      <c r="R35" s="547"/>
    </row>
    <row r="36" spans="1:18" s="210" customFormat="1" ht="33.75" customHeight="1">
      <c r="A36" s="206">
        <f>A27+1</f>
        <v>9</v>
      </c>
      <c r="B36" s="209" t="s">
        <v>143</v>
      </c>
      <c r="C36" s="206" t="s">
        <v>130</v>
      </c>
      <c r="D36" s="206"/>
      <c r="E36" s="218">
        <f>'თბოქსელი მოცულობები'!F6</f>
        <v>13.2864</v>
      </c>
      <c r="F36" s="241"/>
      <c r="G36" s="241"/>
      <c r="H36" s="241"/>
      <c r="I36" s="241"/>
      <c r="J36" s="241"/>
      <c r="K36" s="241"/>
      <c r="L36" s="536"/>
      <c r="M36" s="539"/>
      <c r="N36" s="539"/>
      <c r="O36" s="539"/>
      <c r="P36" s="539"/>
      <c r="Q36" s="539"/>
      <c r="R36" s="541"/>
    </row>
    <row r="37" spans="1:18" s="214" customFormat="1" ht="16" customHeight="1">
      <c r="A37" s="211" t="s">
        <v>21</v>
      </c>
      <c r="B37" s="217" t="s">
        <v>4</v>
      </c>
      <c r="C37" s="211" t="s">
        <v>39</v>
      </c>
      <c r="D37" s="211">
        <v>1</v>
      </c>
      <c r="E37" s="213">
        <f>'თბოქსელი მოცულობები'!Q6</f>
        <v>66.432000000000002</v>
      </c>
      <c r="F37" s="226"/>
      <c r="G37" s="226"/>
      <c r="H37" s="226"/>
      <c r="I37" s="226"/>
      <c r="J37" s="226"/>
      <c r="K37" s="226"/>
      <c r="L37" s="536"/>
      <c r="M37" s="544"/>
      <c r="N37" s="544"/>
      <c r="O37" s="544"/>
      <c r="P37" s="544"/>
      <c r="Q37" s="544"/>
      <c r="R37" s="79"/>
    </row>
    <row r="38" spans="1:18" s="214" customFormat="1" ht="16" customHeight="1">
      <c r="A38" s="211" t="s">
        <v>21</v>
      </c>
      <c r="B38" s="212" t="s">
        <v>131</v>
      </c>
      <c r="C38" s="211" t="s">
        <v>130</v>
      </c>
      <c r="D38" s="211">
        <v>1.0149999999999999</v>
      </c>
      <c r="E38" s="216">
        <f>D38*E36</f>
        <v>13.485695999999999</v>
      </c>
      <c r="F38" s="226"/>
      <c r="G38" s="226"/>
      <c r="H38" s="226"/>
      <c r="I38" s="226"/>
      <c r="J38" s="226"/>
      <c r="K38" s="226"/>
      <c r="L38" s="536"/>
      <c r="M38" s="544"/>
      <c r="N38" s="548"/>
      <c r="O38" s="544"/>
      <c r="P38" s="544"/>
      <c r="Q38" s="544"/>
      <c r="R38" s="79"/>
    </row>
    <row r="39" spans="1:18" s="214" customFormat="1" ht="16" customHeight="1">
      <c r="A39" s="211" t="s">
        <v>21</v>
      </c>
      <c r="B39" s="215" t="s">
        <v>140</v>
      </c>
      <c r="C39" s="211" t="s">
        <v>130</v>
      </c>
      <c r="D39" s="211">
        <f>D38</f>
        <v>1.0149999999999999</v>
      </c>
      <c r="E39" s="216">
        <f>D39*E36</f>
        <v>13.485695999999999</v>
      </c>
      <c r="F39" s="226"/>
      <c r="G39" s="545"/>
      <c r="H39" s="226"/>
      <c r="I39" s="545"/>
      <c r="J39" s="226"/>
      <c r="K39" s="545"/>
      <c r="L39" s="536"/>
      <c r="M39" s="544"/>
      <c r="N39" s="544"/>
      <c r="O39" s="544"/>
      <c r="P39" s="544"/>
      <c r="Q39" s="544"/>
      <c r="R39" s="537"/>
    </row>
    <row r="40" spans="1:18" s="214" customFormat="1" ht="16" customHeight="1">
      <c r="A40" s="211" t="s">
        <v>21</v>
      </c>
      <c r="B40" s="215" t="s">
        <v>132</v>
      </c>
      <c r="C40" s="211" t="s">
        <v>130</v>
      </c>
      <c r="D40" s="211">
        <v>1</v>
      </c>
      <c r="E40" s="213">
        <f>D40*E36</f>
        <v>13.2864</v>
      </c>
      <c r="F40" s="226"/>
      <c r="G40" s="226"/>
      <c r="H40" s="226"/>
      <c r="I40" s="545"/>
      <c r="J40" s="226"/>
      <c r="K40" s="545"/>
      <c r="L40" s="536"/>
      <c r="M40" s="544"/>
      <c r="N40" s="544"/>
      <c r="O40" s="544"/>
      <c r="P40" s="544"/>
      <c r="Q40" s="544"/>
      <c r="R40" s="547"/>
    </row>
    <row r="41" spans="1:18" s="214" customFormat="1" ht="16" customHeight="1">
      <c r="A41" s="211" t="s">
        <v>21</v>
      </c>
      <c r="B41" s="212" t="s">
        <v>133</v>
      </c>
      <c r="C41" s="211" t="s">
        <v>134</v>
      </c>
      <c r="D41" s="211"/>
      <c r="E41" s="213">
        <f>E42+E43</f>
        <v>1.2834662400000001</v>
      </c>
      <c r="F41" s="226"/>
      <c r="G41" s="226"/>
      <c r="H41" s="226"/>
      <c r="I41" s="226"/>
      <c r="J41" s="226"/>
      <c r="K41" s="226"/>
      <c r="L41" s="536"/>
      <c r="M41" s="544"/>
      <c r="N41" s="544"/>
      <c r="O41" s="544"/>
      <c r="P41" s="544"/>
      <c r="Q41" s="544"/>
      <c r="R41" s="546"/>
    </row>
    <row r="42" spans="1:18" s="214" customFormat="1" ht="16" customHeight="1">
      <c r="A42" s="211" t="s">
        <v>21</v>
      </c>
      <c r="B42" s="212" t="s">
        <v>135</v>
      </c>
      <c r="C42" s="211" t="s">
        <v>134</v>
      </c>
      <c r="D42" s="211">
        <v>1.05</v>
      </c>
      <c r="E42" s="213">
        <f>D42*E37*1.4/1000</f>
        <v>9.7655039999999999E-2</v>
      </c>
      <c r="F42" s="226"/>
      <c r="G42" s="226"/>
      <c r="H42" s="226"/>
      <c r="I42" s="226"/>
      <c r="J42" s="226"/>
      <c r="K42" s="226"/>
      <c r="L42" s="536"/>
      <c r="M42" s="544"/>
      <c r="N42" s="544"/>
      <c r="O42" s="544"/>
      <c r="P42" s="544"/>
      <c r="Q42" s="544"/>
      <c r="R42" s="537"/>
    </row>
    <row r="43" spans="1:18" s="214" customFormat="1" ht="16" customHeight="1">
      <c r="A43" s="211" t="s">
        <v>21</v>
      </c>
      <c r="B43" s="217" t="s">
        <v>136</v>
      </c>
      <c r="C43" s="211" t="s">
        <v>134</v>
      </c>
      <c r="D43" s="211">
        <v>1.05</v>
      </c>
      <c r="E43" s="213">
        <f>D43*E37*17/1000</f>
        <v>1.1858112000000001</v>
      </c>
      <c r="F43" s="226"/>
      <c r="G43" s="226"/>
      <c r="H43" s="226"/>
      <c r="I43" s="226"/>
      <c r="J43" s="226"/>
      <c r="K43" s="226"/>
      <c r="L43" s="536"/>
      <c r="M43" s="544"/>
      <c r="N43" s="544"/>
      <c r="O43" s="544"/>
      <c r="P43" s="544"/>
      <c r="Q43" s="544"/>
      <c r="R43" s="537"/>
    </row>
    <row r="44" spans="1:18" s="214" customFormat="1" ht="16" customHeight="1">
      <c r="A44" s="211"/>
      <c r="B44" s="217" t="s">
        <v>145</v>
      </c>
      <c r="C44" s="211" t="s">
        <v>130</v>
      </c>
      <c r="D44" s="211">
        <v>1</v>
      </c>
      <c r="E44" s="213">
        <f>D44*E36</f>
        <v>13.2864</v>
      </c>
      <c r="F44" s="226"/>
      <c r="G44" s="226"/>
      <c r="H44" s="226"/>
      <c r="I44" s="226"/>
      <c r="J44" s="226"/>
      <c r="K44" s="226"/>
      <c r="L44" s="536"/>
      <c r="M44" s="544"/>
      <c r="N44" s="544"/>
      <c r="O44" s="544"/>
      <c r="P44" s="544"/>
      <c r="Q44" s="544"/>
      <c r="R44" s="547"/>
    </row>
    <row r="45" spans="1:18" s="210" customFormat="1" ht="32.25" customHeight="1">
      <c r="A45" s="206">
        <f>A36+1</f>
        <v>10</v>
      </c>
      <c r="B45" s="209" t="s">
        <v>144</v>
      </c>
      <c r="C45" s="206" t="s">
        <v>130</v>
      </c>
      <c r="D45" s="206"/>
      <c r="E45" s="218">
        <f>'თბოქსელი მოცულობები'!D6</f>
        <v>20.981439999999999</v>
      </c>
      <c r="F45" s="241"/>
      <c r="G45" s="241"/>
      <c r="H45" s="241"/>
      <c r="I45" s="241"/>
      <c r="J45" s="241"/>
      <c r="K45" s="241"/>
      <c r="L45" s="536"/>
      <c r="M45" s="539"/>
      <c r="N45" s="539"/>
      <c r="O45" s="539"/>
      <c r="P45" s="539"/>
      <c r="Q45" s="539"/>
      <c r="R45" s="541"/>
    </row>
    <row r="46" spans="1:18" s="214" customFormat="1" ht="16" customHeight="1">
      <c r="A46" s="211" t="s">
        <v>21</v>
      </c>
      <c r="B46" s="212" t="s">
        <v>4</v>
      </c>
      <c r="C46" s="211" t="s">
        <v>39</v>
      </c>
      <c r="D46" s="211">
        <v>1</v>
      </c>
      <c r="E46" s="213">
        <f>'თბოქსელი მოცულობები'!I6</f>
        <v>105.184</v>
      </c>
      <c r="F46" s="226"/>
      <c r="G46" s="226"/>
      <c r="H46" s="226"/>
      <c r="I46" s="226"/>
      <c r="J46" s="226"/>
      <c r="K46" s="545"/>
      <c r="L46" s="536"/>
      <c r="M46" s="544"/>
      <c r="N46" s="544"/>
      <c r="O46" s="544"/>
      <c r="P46" s="544"/>
      <c r="Q46" s="544"/>
      <c r="R46" s="79"/>
    </row>
    <row r="47" spans="1:18" s="214" customFormat="1" ht="16" customHeight="1">
      <c r="A47" s="211" t="s">
        <v>21</v>
      </c>
      <c r="B47" s="215" t="s">
        <v>131</v>
      </c>
      <c r="C47" s="211" t="s">
        <v>130</v>
      </c>
      <c r="D47" s="211">
        <v>1.0149999999999999</v>
      </c>
      <c r="E47" s="216">
        <f>D47*E45</f>
        <v>21.296161599999998</v>
      </c>
      <c r="F47" s="226"/>
      <c r="G47" s="545"/>
      <c r="H47" s="226"/>
      <c r="I47" s="545"/>
      <c r="J47" s="226"/>
      <c r="K47" s="545"/>
      <c r="L47" s="536"/>
      <c r="M47" s="544"/>
      <c r="N47" s="544"/>
      <c r="O47" s="544"/>
      <c r="P47" s="544"/>
      <c r="Q47" s="544"/>
      <c r="R47" s="79"/>
    </row>
    <row r="48" spans="1:18" s="214" customFormat="1" ht="16" customHeight="1">
      <c r="A48" s="211" t="s">
        <v>21</v>
      </c>
      <c r="B48" s="215" t="s">
        <v>140</v>
      </c>
      <c r="C48" s="211" t="s">
        <v>130</v>
      </c>
      <c r="D48" s="211">
        <f>D47</f>
        <v>1.0149999999999999</v>
      </c>
      <c r="E48" s="216">
        <f>D48*E45</f>
        <v>21.296161599999998</v>
      </c>
      <c r="F48" s="226"/>
      <c r="G48" s="545"/>
      <c r="H48" s="226"/>
      <c r="I48" s="545"/>
      <c r="J48" s="226"/>
      <c r="K48" s="545"/>
      <c r="L48" s="536"/>
      <c r="M48" s="544"/>
      <c r="N48" s="544"/>
      <c r="O48" s="544"/>
      <c r="P48" s="544"/>
      <c r="Q48" s="544"/>
      <c r="R48" s="537"/>
    </row>
    <row r="49" spans="1:18" s="214" customFormat="1" ht="16" customHeight="1">
      <c r="A49" s="211" t="s">
        <v>21</v>
      </c>
      <c r="B49" s="212" t="s">
        <v>132</v>
      </c>
      <c r="C49" s="211" t="s">
        <v>130</v>
      </c>
      <c r="D49" s="211">
        <v>1</v>
      </c>
      <c r="E49" s="213">
        <f>D49*E45</f>
        <v>20.981439999999999</v>
      </c>
      <c r="F49" s="226"/>
      <c r="G49" s="226"/>
      <c r="H49" s="226"/>
      <c r="I49" s="226"/>
      <c r="J49" s="226"/>
      <c r="K49" s="226"/>
      <c r="L49" s="536"/>
      <c r="M49" s="544"/>
      <c r="N49" s="544"/>
      <c r="O49" s="544"/>
      <c r="P49" s="544"/>
      <c r="Q49" s="544"/>
      <c r="R49" s="547"/>
    </row>
    <row r="50" spans="1:18" s="214" customFormat="1" ht="16" customHeight="1">
      <c r="A50" s="211" t="s">
        <v>21</v>
      </c>
      <c r="B50" s="212" t="s">
        <v>133</v>
      </c>
      <c r="C50" s="211" t="s">
        <v>134</v>
      </c>
      <c r="D50" s="211"/>
      <c r="E50" s="213">
        <f>E51+E52</f>
        <v>2.0321548800000002</v>
      </c>
      <c r="F50" s="226"/>
      <c r="G50" s="226"/>
      <c r="H50" s="226"/>
      <c r="I50" s="226"/>
      <c r="J50" s="226"/>
      <c r="K50" s="226"/>
      <c r="L50" s="536"/>
      <c r="M50" s="544"/>
      <c r="N50" s="544"/>
      <c r="O50" s="544"/>
      <c r="P50" s="544"/>
      <c r="Q50" s="544"/>
      <c r="R50" s="546"/>
    </row>
    <row r="51" spans="1:18" s="214" customFormat="1" ht="16" customHeight="1">
      <c r="A51" s="211" t="s">
        <v>21</v>
      </c>
      <c r="B51" s="217" t="s">
        <v>135</v>
      </c>
      <c r="C51" s="211" t="s">
        <v>134</v>
      </c>
      <c r="D51" s="211">
        <v>1.05</v>
      </c>
      <c r="E51" s="213">
        <f>D51*E46*1.4/1000</f>
        <v>0.15462047999999998</v>
      </c>
      <c r="F51" s="226"/>
      <c r="G51" s="226"/>
      <c r="H51" s="226"/>
      <c r="I51" s="226"/>
      <c r="J51" s="226"/>
      <c r="K51" s="226"/>
      <c r="L51" s="536"/>
      <c r="M51" s="544"/>
      <c r="N51" s="544"/>
      <c r="O51" s="544"/>
      <c r="P51" s="544"/>
      <c r="Q51" s="544"/>
      <c r="R51" s="537"/>
    </row>
    <row r="52" spans="1:18" s="214" customFormat="1" ht="16" customHeight="1">
      <c r="A52" s="211" t="s">
        <v>21</v>
      </c>
      <c r="B52" s="217" t="s">
        <v>136</v>
      </c>
      <c r="C52" s="211" t="s">
        <v>134</v>
      </c>
      <c r="D52" s="211">
        <v>1.05</v>
      </c>
      <c r="E52" s="213">
        <f>D52*E46*17/1000</f>
        <v>1.8775344</v>
      </c>
      <c r="F52" s="226"/>
      <c r="G52" s="226"/>
      <c r="H52" s="226"/>
      <c r="I52" s="226"/>
      <c r="J52" s="226"/>
      <c r="K52" s="226"/>
      <c r="L52" s="536"/>
      <c r="M52" s="544"/>
      <c r="N52" s="544"/>
      <c r="O52" s="544"/>
      <c r="P52" s="544"/>
      <c r="Q52" s="544"/>
      <c r="R52" s="537"/>
    </row>
    <row r="53" spans="1:18" s="221" customFormat="1" ht="14.5">
      <c r="A53" s="211" t="s">
        <v>21</v>
      </c>
      <c r="B53" s="217" t="s">
        <v>145</v>
      </c>
      <c r="C53" s="211" t="s">
        <v>130</v>
      </c>
      <c r="D53" s="211">
        <v>1</v>
      </c>
      <c r="E53" s="213">
        <f>D53*E45</f>
        <v>20.981439999999999</v>
      </c>
      <c r="F53" s="226"/>
      <c r="G53" s="226"/>
      <c r="H53" s="226"/>
      <c r="I53" s="226"/>
      <c r="J53" s="226"/>
      <c r="K53" s="226"/>
      <c r="L53" s="536"/>
      <c r="M53" s="549"/>
      <c r="N53" s="549"/>
      <c r="O53" s="549"/>
      <c r="P53" s="549"/>
      <c r="Q53" s="549"/>
      <c r="R53" s="550"/>
    </row>
    <row r="54" spans="1:18" s="208" customFormat="1" ht="25.5" customHeight="1">
      <c r="A54" s="206"/>
      <c r="B54" s="242" t="s">
        <v>150</v>
      </c>
      <c r="C54" s="206"/>
      <c r="D54" s="206"/>
      <c r="E54" s="207"/>
      <c r="F54" s="241"/>
      <c r="G54" s="241"/>
      <c r="H54" s="241"/>
      <c r="I54" s="241"/>
      <c r="J54" s="241"/>
      <c r="K54" s="241"/>
      <c r="L54" s="536"/>
      <c r="M54" s="534"/>
      <c r="N54" s="534"/>
      <c r="O54" s="534"/>
      <c r="P54" s="534"/>
      <c r="Q54" s="534"/>
      <c r="R54" s="535"/>
    </row>
    <row r="55" spans="1:18" s="210" customFormat="1" ht="39.75" customHeight="1">
      <c r="A55" s="206">
        <f>A45+1</f>
        <v>11</v>
      </c>
      <c r="B55" s="209" t="s">
        <v>142</v>
      </c>
      <c r="C55" s="206" t="s">
        <v>130</v>
      </c>
      <c r="D55" s="206"/>
      <c r="E55" s="207">
        <f>'თბოქსელი მოცულობები'!E4</f>
        <v>24.373719999999999</v>
      </c>
      <c r="F55" s="241"/>
      <c r="G55" s="241"/>
      <c r="H55" s="241"/>
      <c r="I55" s="241"/>
      <c r="J55" s="241"/>
      <c r="K55" s="241"/>
      <c r="L55" s="536"/>
      <c r="M55" s="539"/>
      <c r="N55" s="540"/>
      <c r="O55" s="539"/>
      <c r="P55" s="539"/>
      <c r="Q55" s="539"/>
      <c r="R55" s="541"/>
    </row>
    <row r="56" spans="1:18" s="214" customFormat="1" ht="14.5">
      <c r="A56" s="211" t="s">
        <v>21</v>
      </c>
      <c r="B56" s="212" t="s">
        <v>4</v>
      </c>
      <c r="C56" s="211" t="s">
        <v>39</v>
      </c>
      <c r="D56" s="211">
        <v>1</v>
      </c>
      <c r="E56" s="213">
        <f>'თბოქსელი მოცულობები'!M4</f>
        <v>121.86859999999999</v>
      </c>
      <c r="F56" s="226"/>
      <c r="G56" s="226"/>
      <c r="H56" s="226"/>
      <c r="I56" s="226"/>
      <c r="J56" s="226"/>
      <c r="K56" s="226"/>
      <c r="L56" s="536"/>
      <c r="M56" s="544"/>
      <c r="N56" s="543"/>
      <c r="O56" s="544"/>
      <c r="P56" s="544"/>
      <c r="Q56" s="544"/>
      <c r="R56" s="79"/>
    </row>
    <row r="57" spans="1:18" s="214" customFormat="1" ht="14.5">
      <c r="A57" s="211" t="s">
        <v>21</v>
      </c>
      <c r="B57" s="215" t="s">
        <v>131</v>
      </c>
      <c r="C57" s="211" t="s">
        <v>130</v>
      </c>
      <c r="D57" s="211">
        <v>1.0149999999999999</v>
      </c>
      <c r="E57" s="216">
        <f>D57*E55</f>
        <v>24.739325799999996</v>
      </c>
      <c r="F57" s="226"/>
      <c r="G57" s="545"/>
      <c r="H57" s="226"/>
      <c r="I57" s="545"/>
      <c r="J57" s="226"/>
      <c r="K57" s="545"/>
      <c r="L57" s="536"/>
      <c r="M57" s="544"/>
      <c r="N57" s="544"/>
      <c r="O57" s="544"/>
      <c r="P57" s="544"/>
      <c r="Q57" s="544"/>
      <c r="R57" s="79"/>
    </row>
    <row r="58" spans="1:18" s="214" customFormat="1" ht="14.5">
      <c r="A58" s="211" t="s">
        <v>21</v>
      </c>
      <c r="B58" s="215" t="s">
        <v>140</v>
      </c>
      <c r="C58" s="211" t="s">
        <v>130</v>
      </c>
      <c r="D58" s="211">
        <f>D57</f>
        <v>1.0149999999999999</v>
      </c>
      <c r="E58" s="216">
        <f>D58*E55</f>
        <v>24.739325799999996</v>
      </c>
      <c r="F58" s="226"/>
      <c r="G58" s="545"/>
      <c r="H58" s="226"/>
      <c r="I58" s="545"/>
      <c r="J58" s="226"/>
      <c r="K58" s="545"/>
      <c r="L58" s="536"/>
      <c r="M58" s="544"/>
      <c r="N58" s="544"/>
      <c r="O58" s="544"/>
      <c r="P58" s="544"/>
      <c r="Q58" s="544"/>
      <c r="R58" s="79"/>
    </row>
    <row r="59" spans="1:18" s="214" customFormat="1" ht="14.5">
      <c r="A59" s="211" t="s">
        <v>21</v>
      </c>
      <c r="B59" s="212" t="s">
        <v>132</v>
      </c>
      <c r="C59" s="211" t="s">
        <v>130</v>
      </c>
      <c r="D59" s="211">
        <v>1</v>
      </c>
      <c r="E59" s="213">
        <f>D59*E55</f>
        <v>24.373719999999999</v>
      </c>
      <c r="F59" s="226"/>
      <c r="G59" s="226"/>
      <c r="H59" s="226"/>
      <c r="I59" s="226"/>
      <c r="J59" s="226"/>
      <c r="K59" s="226"/>
      <c r="L59" s="536"/>
      <c r="M59" s="544"/>
      <c r="N59" s="544"/>
      <c r="O59" s="544"/>
      <c r="P59" s="544"/>
      <c r="Q59" s="544"/>
      <c r="R59" s="79"/>
    </row>
    <row r="60" spans="1:18" s="214" customFormat="1" ht="14.5">
      <c r="A60" s="211" t="s">
        <v>21</v>
      </c>
      <c r="B60" s="469" t="s">
        <v>133</v>
      </c>
      <c r="C60" s="211" t="s">
        <v>134</v>
      </c>
      <c r="D60" s="211"/>
      <c r="E60" s="213">
        <f>E61+E62</f>
        <v>2.3545013519999998</v>
      </c>
      <c r="F60" s="226"/>
      <c r="G60" s="226"/>
      <c r="H60" s="226"/>
      <c r="I60" s="226"/>
      <c r="J60" s="226"/>
      <c r="K60" s="226"/>
      <c r="L60" s="536"/>
      <c r="M60" s="544"/>
      <c r="N60" s="544"/>
      <c r="O60" s="544"/>
      <c r="P60" s="544"/>
      <c r="Q60" s="544"/>
      <c r="R60" s="546"/>
    </row>
    <row r="61" spans="1:18" s="214" customFormat="1" ht="17">
      <c r="A61" s="211" t="s">
        <v>21</v>
      </c>
      <c r="B61" s="217" t="s">
        <v>146</v>
      </c>
      <c r="C61" s="211" t="s">
        <v>134</v>
      </c>
      <c r="D61" s="211">
        <v>1.05</v>
      </c>
      <c r="E61" s="213">
        <f>D61*E56*1.4/1000</f>
        <v>0.17914684199999997</v>
      </c>
      <c r="F61" s="226"/>
      <c r="G61" s="226"/>
      <c r="H61" s="226"/>
      <c r="I61" s="226"/>
      <c r="J61" s="226"/>
      <c r="K61" s="226"/>
      <c r="L61" s="536"/>
      <c r="M61" s="544"/>
      <c r="N61" s="544"/>
      <c r="O61" s="544"/>
      <c r="P61" s="544"/>
      <c r="Q61" s="544"/>
      <c r="R61" s="537"/>
    </row>
    <row r="62" spans="1:18" s="214" customFormat="1" ht="14.5">
      <c r="A62" s="211" t="s">
        <v>21</v>
      </c>
      <c r="B62" s="217" t="s">
        <v>147</v>
      </c>
      <c r="C62" s="211" t="s">
        <v>134</v>
      </c>
      <c r="D62" s="211">
        <v>1.05</v>
      </c>
      <c r="E62" s="213">
        <f>D62*E56*17/1000</f>
        <v>2.1753545099999996</v>
      </c>
      <c r="F62" s="226"/>
      <c r="G62" s="226"/>
      <c r="H62" s="226"/>
      <c r="I62" s="226"/>
      <c r="J62" s="226"/>
      <c r="K62" s="226"/>
      <c r="L62" s="536"/>
      <c r="M62" s="544"/>
      <c r="N62" s="544"/>
      <c r="O62" s="544"/>
      <c r="P62" s="544"/>
      <c r="Q62" s="544"/>
      <c r="R62" s="79"/>
    </row>
    <row r="63" spans="1:18" s="214" customFormat="1" ht="14.5">
      <c r="A63" s="211"/>
      <c r="B63" s="217" t="s">
        <v>145</v>
      </c>
      <c r="C63" s="211" t="s">
        <v>130</v>
      </c>
      <c r="D63" s="211">
        <v>1</v>
      </c>
      <c r="E63" s="213">
        <f>D63*E55</f>
        <v>24.373719999999999</v>
      </c>
      <c r="F63" s="226"/>
      <c r="G63" s="226"/>
      <c r="H63" s="226"/>
      <c r="I63" s="226"/>
      <c r="J63" s="226"/>
      <c r="K63" s="226"/>
      <c r="L63" s="536"/>
      <c r="M63" s="544"/>
      <c r="N63" s="544"/>
      <c r="O63" s="544"/>
      <c r="P63" s="544"/>
      <c r="Q63" s="544"/>
      <c r="R63" s="547"/>
    </row>
    <row r="64" spans="1:18" s="210" customFormat="1" ht="33.75" customHeight="1">
      <c r="A64" s="206">
        <f>A55+1</f>
        <v>12</v>
      </c>
      <c r="B64" s="209" t="s">
        <v>143</v>
      </c>
      <c r="C64" s="206" t="s">
        <v>130</v>
      </c>
      <c r="D64" s="206"/>
      <c r="E64" s="218">
        <f>'თბოქსელი მოცულობები'!F4</f>
        <v>20.891759999999998</v>
      </c>
      <c r="F64" s="241"/>
      <c r="G64" s="241"/>
      <c r="H64" s="241"/>
      <c r="I64" s="241"/>
      <c r="J64" s="241"/>
      <c r="K64" s="241"/>
      <c r="L64" s="536"/>
      <c r="M64" s="539"/>
      <c r="N64" s="539"/>
      <c r="O64" s="539"/>
      <c r="P64" s="539"/>
      <c r="Q64" s="539"/>
      <c r="R64" s="541"/>
    </row>
    <row r="65" spans="1:18" s="214" customFormat="1" ht="16" customHeight="1">
      <c r="A65" s="211" t="s">
        <v>21</v>
      </c>
      <c r="B65" s="217" t="s">
        <v>4</v>
      </c>
      <c r="C65" s="211" t="s">
        <v>39</v>
      </c>
      <c r="D65" s="211">
        <v>1</v>
      </c>
      <c r="E65" s="213">
        <f>'თბოქსელი მოცულობები'!Q4</f>
        <v>104.45879999999998</v>
      </c>
      <c r="F65" s="226"/>
      <c r="G65" s="226"/>
      <c r="H65" s="226"/>
      <c r="I65" s="226"/>
      <c r="J65" s="226"/>
      <c r="K65" s="226"/>
      <c r="L65" s="536"/>
      <c r="M65" s="544"/>
      <c r="N65" s="544"/>
      <c r="O65" s="544"/>
      <c r="P65" s="544"/>
      <c r="Q65" s="544"/>
      <c r="R65" s="79"/>
    </row>
    <row r="66" spans="1:18" s="214" customFormat="1" ht="16" customHeight="1">
      <c r="A66" s="211" t="s">
        <v>21</v>
      </c>
      <c r="B66" s="212" t="s">
        <v>131</v>
      </c>
      <c r="C66" s="211" t="s">
        <v>130</v>
      </c>
      <c r="D66" s="211">
        <v>1.0149999999999999</v>
      </c>
      <c r="E66" s="216">
        <f>D66*E64</f>
        <v>21.205136399999997</v>
      </c>
      <c r="F66" s="226"/>
      <c r="G66" s="226"/>
      <c r="H66" s="226"/>
      <c r="I66" s="226"/>
      <c r="J66" s="226"/>
      <c r="K66" s="226"/>
      <c r="L66" s="536"/>
      <c r="M66" s="544"/>
      <c r="N66" s="548"/>
      <c r="O66" s="544"/>
      <c r="P66" s="544"/>
      <c r="Q66" s="544"/>
      <c r="R66" s="79"/>
    </row>
    <row r="67" spans="1:18" s="214" customFormat="1" ht="16" customHeight="1">
      <c r="A67" s="211" t="s">
        <v>21</v>
      </c>
      <c r="B67" s="215" t="s">
        <v>140</v>
      </c>
      <c r="C67" s="211" t="s">
        <v>130</v>
      </c>
      <c r="D67" s="211">
        <f>D66</f>
        <v>1.0149999999999999</v>
      </c>
      <c r="E67" s="216">
        <f>D67*E64</f>
        <v>21.205136399999997</v>
      </c>
      <c r="F67" s="226"/>
      <c r="G67" s="545"/>
      <c r="H67" s="226"/>
      <c r="I67" s="545"/>
      <c r="J67" s="226"/>
      <c r="K67" s="545"/>
      <c r="L67" s="536"/>
      <c r="M67" s="544"/>
      <c r="N67" s="544"/>
      <c r="O67" s="544"/>
      <c r="P67" s="544"/>
      <c r="Q67" s="544"/>
      <c r="R67" s="537"/>
    </row>
    <row r="68" spans="1:18" s="214" customFormat="1" ht="16" customHeight="1">
      <c r="A68" s="211" t="s">
        <v>21</v>
      </c>
      <c r="B68" s="215" t="s">
        <v>132</v>
      </c>
      <c r="C68" s="211" t="s">
        <v>130</v>
      </c>
      <c r="D68" s="211">
        <v>1</v>
      </c>
      <c r="E68" s="213">
        <f>D68*E64</f>
        <v>20.891759999999998</v>
      </c>
      <c r="F68" s="226"/>
      <c r="G68" s="226"/>
      <c r="H68" s="226"/>
      <c r="I68" s="545"/>
      <c r="J68" s="226"/>
      <c r="K68" s="545"/>
      <c r="L68" s="536"/>
      <c r="M68" s="544"/>
      <c r="N68" s="544"/>
      <c r="O68" s="544"/>
      <c r="P68" s="544"/>
      <c r="Q68" s="544"/>
      <c r="R68" s="79"/>
    </row>
    <row r="69" spans="1:18" s="214" customFormat="1" ht="16" customHeight="1">
      <c r="A69" s="211" t="s">
        <v>21</v>
      </c>
      <c r="B69" s="212" t="s">
        <v>133</v>
      </c>
      <c r="C69" s="211" t="s">
        <v>134</v>
      </c>
      <c r="D69" s="211"/>
      <c r="E69" s="213">
        <f>E70+E71</f>
        <v>2.0181440159999999</v>
      </c>
      <c r="F69" s="226"/>
      <c r="G69" s="226"/>
      <c r="H69" s="226"/>
      <c r="I69" s="226"/>
      <c r="J69" s="226"/>
      <c r="K69" s="226"/>
      <c r="L69" s="536"/>
      <c r="M69" s="544"/>
      <c r="N69" s="544"/>
      <c r="O69" s="544"/>
      <c r="P69" s="544"/>
      <c r="Q69" s="544"/>
      <c r="R69" s="546"/>
    </row>
    <row r="70" spans="1:18" s="214" customFormat="1" ht="16" customHeight="1">
      <c r="A70" s="211" t="s">
        <v>21</v>
      </c>
      <c r="B70" s="212" t="s">
        <v>135</v>
      </c>
      <c r="C70" s="211" t="s">
        <v>134</v>
      </c>
      <c r="D70" s="211">
        <v>1.05</v>
      </c>
      <c r="E70" s="213">
        <f>D70*E65*1.4/1000</f>
        <v>0.15355443599999999</v>
      </c>
      <c r="F70" s="226"/>
      <c r="G70" s="226"/>
      <c r="H70" s="226"/>
      <c r="I70" s="226"/>
      <c r="J70" s="226"/>
      <c r="K70" s="226"/>
      <c r="L70" s="536"/>
      <c r="M70" s="544"/>
      <c r="N70" s="544"/>
      <c r="O70" s="544"/>
      <c r="P70" s="544"/>
      <c r="Q70" s="544"/>
      <c r="R70" s="537"/>
    </row>
    <row r="71" spans="1:18" s="214" customFormat="1" ht="16" customHeight="1">
      <c r="A71" s="211" t="s">
        <v>21</v>
      </c>
      <c r="B71" s="217" t="s">
        <v>136</v>
      </c>
      <c r="C71" s="211" t="s">
        <v>134</v>
      </c>
      <c r="D71" s="211">
        <v>1.05</v>
      </c>
      <c r="E71" s="213">
        <f>D71*E65*17/1000</f>
        <v>1.8645895799999999</v>
      </c>
      <c r="F71" s="226"/>
      <c r="G71" s="226"/>
      <c r="H71" s="226"/>
      <c r="I71" s="226"/>
      <c r="J71" s="226"/>
      <c r="K71" s="226"/>
      <c r="L71" s="536"/>
      <c r="M71" s="544"/>
      <c r="N71" s="544"/>
      <c r="O71" s="544"/>
      <c r="P71" s="544"/>
      <c r="Q71" s="544"/>
      <c r="R71" s="537"/>
    </row>
    <row r="72" spans="1:18" s="214" customFormat="1" ht="16" customHeight="1">
      <c r="A72" s="211"/>
      <c r="B72" s="217" t="s">
        <v>145</v>
      </c>
      <c r="C72" s="211" t="s">
        <v>130</v>
      </c>
      <c r="D72" s="211">
        <v>1</v>
      </c>
      <c r="E72" s="213">
        <f>D72*E64</f>
        <v>20.891759999999998</v>
      </c>
      <c r="F72" s="226"/>
      <c r="G72" s="226"/>
      <c r="H72" s="226"/>
      <c r="I72" s="226"/>
      <c r="J72" s="226"/>
      <c r="K72" s="226"/>
      <c r="L72" s="536"/>
      <c r="M72" s="544"/>
      <c r="N72" s="544"/>
      <c r="O72" s="544"/>
      <c r="P72" s="544"/>
      <c r="Q72" s="544"/>
      <c r="R72" s="547"/>
    </row>
    <row r="73" spans="1:18" s="210" customFormat="1" ht="32.25" customHeight="1">
      <c r="A73" s="206">
        <f>A64+1</f>
        <v>13</v>
      </c>
      <c r="B73" s="209" t="s">
        <v>144</v>
      </c>
      <c r="C73" s="206" t="s">
        <v>130</v>
      </c>
      <c r="D73" s="206"/>
      <c r="E73" s="218">
        <f>'თბოქსელი მოცულობები'!D4</f>
        <v>24.373719999999999</v>
      </c>
      <c r="F73" s="241"/>
      <c r="G73" s="241"/>
      <c r="H73" s="241"/>
      <c r="I73" s="241"/>
      <c r="J73" s="241"/>
      <c r="K73" s="241"/>
      <c r="L73" s="536"/>
      <c r="M73" s="539"/>
      <c r="N73" s="539"/>
      <c r="O73" s="539"/>
      <c r="P73" s="539"/>
      <c r="Q73" s="539"/>
      <c r="R73" s="541"/>
    </row>
    <row r="74" spans="1:18" s="214" customFormat="1" ht="16" customHeight="1">
      <c r="A74" s="211" t="s">
        <v>21</v>
      </c>
      <c r="B74" s="212" t="s">
        <v>4</v>
      </c>
      <c r="C74" s="211" t="s">
        <v>39</v>
      </c>
      <c r="D74" s="211">
        <v>1</v>
      </c>
      <c r="E74" s="213">
        <f>'თბოქსელი მოცულობები'!I4</f>
        <v>121.86859999999999</v>
      </c>
      <c r="F74" s="226"/>
      <c r="G74" s="226"/>
      <c r="H74" s="226"/>
      <c r="I74" s="226"/>
      <c r="J74" s="226"/>
      <c r="K74" s="545"/>
      <c r="L74" s="536"/>
      <c r="M74" s="544"/>
      <c r="N74" s="544"/>
      <c r="O74" s="544"/>
      <c r="P74" s="544"/>
      <c r="Q74" s="544"/>
      <c r="R74" s="79"/>
    </row>
    <row r="75" spans="1:18" s="214" customFormat="1" ht="16" customHeight="1">
      <c r="A75" s="211" t="s">
        <v>21</v>
      </c>
      <c r="B75" s="215" t="s">
        <v>131</v>
      </c>
      <c r="C75" s="211" t="s">
        <v>130</v>
      </c>
      <c r="D75" s="211">
        <v>1.0149999999999999</v>
      </c>
      <c r="E75" s="216">
        <f>D75*E73</f>
        <v>24.739325799999996</v>
      </c>
      <c r="F75" s="226"/>
      <c r="G75" s="545"/>
      <c r="H75" s="226"/>
      <c r="I75" s="545"/>
      <c r="J75" s="226"/>
      <c r="K75" s="545"/>
      <c r="L75" s="536"/>
      <c r="M75" s="544"/>
      <c r="N75" s="544"/>
      <c r="O75" s="544"/>
      <c r="P75" s="544"/>
      <c r="Q75" s="544"/>
      <c r="R75" s="79"/>
    </row>
    <row r="76" spans="1:18" s="214" customFormat="1" ht="16" customHeight="1">
      <c r="A76" s="211" t="s">
        <v>21</v>
      </c>
      <c r="B76" s="215" t="s">
        <v>140</v>
      </c>
      <c r="C76" s="211" t="s">
        <v>130</v>
      </c>
      <c r="D76" s="211">
        <f>D75</f>
        <v>1.0149999999999999</v>
      </c>
      <c r="E76" s="216">
        <f>D76*E73</f>
        <v>24.739325799999996</v>
      </c>
      <c r="F76" s="226"/>
      <c r="G76" s="545"/>
      <c r="H76" s="226"/>
      <c r="I76" s="545"/>
      <c r="J76" s="226"/>
      <c r="K76" s="545"/>
      <c r="L76" s="536"/>
      <c r="M76" s="544"/>
      <c r="N76" s="544"/>
      <c r="O76" s="544"/>
      <c r="P76" s="544"/>
      <c r="Q76" s="544"/>
      <c r="R76" s="537"/>
    </row>
    <row r="77" spans="1:18" s="214" customFormat="1" ht="16" customHeight="1">
      <c r="A77" s="211" t="s">
        <v>21</v>
      </c>
      <c r="B77" s="212" t="s">
        <v>132</v>
      </c>
      <c r="C77" s="211" t="s">
        <v>130</v>
      </c>
      <c r="D77" s="211">
        <v>1</v>
      </c>
      <c r="E77" s="213">
        <f>D77*E73</f>
        <v>24.373719999999999</v>
      </c>
      <c r="F77" s="226"/>
      <c r="G77" s="226"/>
      <c r="H77" s="226"/>
      <c r="I77" s="226"/>
      <c r="J77" s="226"/>
      <c r="K77" s="226"/>
      <c r="L77" s="536"/>
      <c r="M77" s="544"/>
      <c r="N77" s="544"/>
      <c r="O77" s="544"/>
      <c r="P77" s="544"/>
      <c r="Q77" s="544"/>
      <c r="R77" s="79"/>
    </row>
    <row r="78" spans="1:18" s="214" customFormat="1" ht="16" customHeight="1">
      <c r="A78" s="211" t="s">
        <v>21</v>
      </c>
      <c r="B78" s="212" t="s">
        <v>133</v>
      </c>
      <c r="C78" s="211" t="s">
        <v>134</v>
      </c>
      <c r="D78" s="211"/>
      <c r="E78" s="213">
        <f>E79+E80</f>
        <v>2.3545013519999998</v>
      </c>
      <c r="F78" s="226"/>
      <c r="G78" s="226"/>
      <c r="H78" s="226"/>
      <c r="I78" s="226"/>
      <c r="J78" s="226"/>
      <c r="K78" s="226"/>
      <c r="L78" s="536"/>
      <c r="M78" s="544"/>
      <c r="N78" s="544"/>
      <c r="O78" s="544"/>
      <c r="P78" s="544"/>
      <c r="Q78" s="544"/>
      <c r="R78" s="546"/>
    </row>
    <row r="79" spans="1:18" s="214" customFormat="1" ht="16" customHeight="1">
      <c r="A79" s="211" t="s">
        <v>21</v>
      </c>
      <c r="B79" s="217" t="s">
        <v>135</v>
      </c>
      <c r="C79" s="211" t="s">
        <v>134</v>
      </c>
      <c r="D79" s="211">
        <v>1.05</v>
      </c>
      <c r="E79" s="213">
        <f>D79*E74*1.4/1000</f>
        <v>0.17914684199999997</v>
      </c>
      <c r="F79" s="226"/>
      <c r="G79" s="226"/>
      <c r="H79" s="226"/>
      <c r="I79" s="226"/>
      <c r="J79" s="226"/>
      <c r="K79" s="226"/>
      <c r="L79" s="536"/>
      <c r="M79" s="544"/>
      <c r="N79" s="544"/>
      <c r="O79" s="544"/>
      <c r="P79" s="544"/>
      <c r="Q79" s="544"/>
      <c r="R79" s="537"/>
    </row>
    <row r="80" spans="1:18" s="214" customFormat="1" ht="16" customHeight="1">
      <c r="A80" s="211" t="s">
        <v>21</v>
      </c>
      <c r="B80" s="217" t="s">
        <v>136</v>
      </c>
      <c r="C80" s="211" t="s">
        <v>134</v>
      </c>
      <c r="D80" s="211">
        <v>1.05</v>
      </c>
      <c r="E80" s="213">
        <f>D80*E74*17/1000</f>
        <v>2.1753545099999996</v>
      </c>
      <c r="F80" s="226"/>
      <c r="G80" s="226"/>
      <c r="H80" s="226"/>
      <c r="I80" s="226"/>
      <c r="J80" s="226"/>
      <c r="K80" s="226"/>
      <c r="L80" s="536"/>
      <c r="M80" s="544"/>
      <c r="N80" s="544"/>
      <c r="O80" s="544"/>
      <c r="P80" s="544"/>
      <c r="Q80" s="544"/>
      <c r="R80" s="537"/>
    </row>
    <row r="81" spans="1:18" s="221" customFormat="1" ht="14.5">
      <c r="A81" s="211" t="s">
        <v>21</v>
      </c>
      <c r="B81" s="217" t="s">
        <v>145</v>
      </c>
      <c r="C81" s="211" t="s">
        <v>130</v>
      </c>
      <c r="D81" s="211">
        <v>1</v>
      </c>
      <c r="E81" s="213">
        <f>D81*E73</f>
        <v>24.373719999999999</v>
      </c>
      <c r="F81" s="226"/>
      <c r="G81" s="226"/>
      <c r="H81" s="226"/>
      <c r="I81" s="226"/>
      <c r="J81" s="226"/>
      <c r="K81" s="226"/>
      <c r="L81" s="536"/>
      <c r="M81" s="549"/>
      <c r="N81" s="549"/>
      <c r="O81" s="549"/>
      <c r="P81" s="549"/>
      <c r="Q81" s="549"/>
      <c r="R81" s="550"/>
    </row>
    <row r="82" spans="1:18" s="208" customFormat="1" ht="31.5" customHeight="1">
      <c r="A82" s="206"/>
      <c r="B82" s="242" t="s">
        <v>151</v>
      </c>
      <c r="C82" s="206"/>
      <c r="D82" s="206"/>
      <c r="E82" s="207"/>
      <c r="F82" s="241"/>
      <c r="G82" s="241"/>
      <c r="H82" s="241"/>
      <c r="I82" s="241"/>
      <c r="J82" s="241"/>
      <c r="K82" s="241"/>
      <c r="L82" s="536"/>
      <c r="M82" s="534"/>
      <c r="N82" s="534"/>
      <c r="O82" s="534"/>
      <c r="P82" s="534"/>
      <c r="Q82" s="534"/>
      <c r="R82" s="535"/>
    </row>
    <row r="83" spans="1:18" s="210" customFormat="1" ht="39.75" customHeight="1">
      <c r="A83" s="206">
        <f>A73+1</f>
        <v>14</v>
      </c>
      <c r="B83" s="209" t="s">
        <v>142</v>
      </c>
      <c r="C83" s="206" t="s">
        <v>130</v>
      </c>
      <c r="D83" s="206"/>
      <c r="E83" s="207">
        <f>'თბოქსელი მოცულობები'!E8</f>
        <v>4.5888</v>
      </c>
      <c r="F83" s="241"/>
      <c r="G83" s="241"/>
      <c r="H83" s="241"/>
      <c r="I83" s="241"/>
      <c r="J83" s="241"/>
      <c r="K83" s="241"/>
      <c r="L83" s="536"/>
      <c r="M83" s="539"/>
      <c r="N83" s="540"/>
      <c r="O83" s="539"/>
      <c r="P83" s="539"/>
      <c r="Q83" s="539"/>
      <c r="R83" s="541"/>
    </row>
    <row r="84" spans="1:18" s="214" customFormat="1" ht="14.5">
      <c r="A84" s="211" t="s">
        <v>21</v>
      </c>
      <c r="B84" s="212" t="s">
        <v>4</v>
      </c>
      <c r="C84" s="211" t="s">
        <v>39</v>
      </c>
      <c r="D84" s="211">
        <v>1</v>
      </c>
      <c r="E84" s="213">
        <f>'თბოქსელი მოცულობები'!M8</f>
        <v>22.943999999999999</v>
      </c>
      <c r="F84" s="226"/>
      <c r="G84" s="226"/>
      <c r="H84" s="226"/>
      <c r="I84" s="226"/>
      <c r="J84" s="226"/>
      <c r="K84" s="226"/>
      <c r="L84" s="536"/>
      <c r="M84" s="544"/>
      <c r="N84" s="543"/>
      <c r="O84" s="544"/>
      <c r="P84" s="544"/>
      <c r="Q84" s="544"/>
      <c r="R84" s="79"/>
    </row>
    <row r="85" spans="1:18" s="214" customFormat="1" ht="14.5">
      <c r="A85" s="211" t="s">
        <v>21</v>
      </c>
      <c r="B85" s="215" t="s">
        <v>131</v>
      </c>
      <c r="C85" s="211" t="s">
        <v>130</v>
      </c>
      <c r="D85" s="211">
        <v>1.0149999999999999</v>
      </c>
      <c r="E85" s="216">
        <f>D85*E83</f>
        <v>4.6576319999999996</v>
      </c>
      <c r="F85" s="226"/>
      <c r="G85" s="545"/>
      <c r="H85" s="226"/>
      <c r="I85" s="545"/>
      <c r="J85" s="226"/>
      <c r="K85" s="545"/>
      <c r="L85" s="536"/>
      <c r="M85" s="544"/>
      <c r="N85" s="544"/>
      <c r="O85" s="544"/>
      <c r="P85" s="544"/>
      <c r="Q85" s="544"/>
      <c r="R85" s="79"/>
    </row>
    <row r="86" spans="1:18" s="214" customFormat="1" ht="14.5">
      <c r="A86" s="211" t="s">
        <v>21</v>
      </c>
      <c r="B86" s="215" t="s">
        <v>140</v>
      </c>
      <c r="C86" s="211" t="s">
        <v>130</v>
      </c>
      <c r="D86" s="211">
        <f>D85</f>
        <v>1.0149999999999999</v>
      </c>
      <c r="E86" s="216">
        <f>D86*E83</f>
        <v>4.6576319999999996</v>
      </c>
      <c r="F86" s="226"/>
      <c r="G86" s="545"/>
      <c r="H86" s="226"/>
      <c r="I86" s="545"/>
      <c r="J86" s="226"/>
      <c r="K86" s="545"/>
      <c r="L86" s="536"/>
      <c r="M86" s="544"/>
      <c r="N86" s="544"/>
      <c r="O86" s="544"/>
      <c r="P86" s="544"/>
      <c r="Q86" s="544"/>
      <c r="R86" s="79"/>
    </row>
    <row r="87" spans="1:18" s="214" customFormat="1" ht="14.5">
      <c r="A87" s="211" t="s">
        <v>21</v>
      </c>
      <c r="B87" s="212" t="s">
        <v>132</v>
      </c>
      <c r="C87" s="211" t="s">
        <v>130</v>
      </c>
      <c r="D87" s="211">
        <v>1</v>
      </c>
      <c r="E87" s="213">
        <f>D87*E83</f>
        <v>4.5888</v>
      </c>
      <c r="F87" s="226"/>
      <c r="G87" s="226"/>
      <c r="H87" s="226"/>
      <c r="I87" s="226"/>
      <c r="J87" s="226"/>
      <c r="K87" s="226"/>
      <c r="L87" s="536"/>
      <c r="M87" s="544"/>
      <c r="N87" s="544"/>
      <c r="O87" s="544"/>
      <c r="P87" s="544"/>
      <c r="Q87" s="544"/>
      <c r="R87" s="79"/>
    </row>
    <row r="88" spans="1:18" s="214" customFormat="1" ht="14.5">
      <c r="A88" s="211" t="s">
        <v>21</v>
      </c>
      <c r="B88" s="212" t="s">
        <v>133</v>
      </c>
      <c r="C88" s="211" t="s">
        <v>134</v>
      </c>
      <c r="D88" s="211"/>
      <c r="E88" s="213">
        <f>E89+E90</f>
        <v>0.44327808000000002</v>
      </c>
      <c r="F88" s="226"/>
      <c r="G88" s="226"/>
      <c r="H88" s="226"/>
      <c r="I88" s="226"/>
      <c r="J88" s="226"/>
      <c r="K88" s="226"/>
      <c r="L88" s="536"/>
      <c r="M88" s="544"/>
      <c r="N88" s="544"/>
      <c r="O88" s="544"/>
      <c r="P88" s="544"/>
      <c r="Q88" s="544"/>
      <c r="R88" s="546"/>
    </row>
    <row r="89" spans="1:18" s="214" customFormat="1" ht="14.5">
      <c r="A89" s="211" t="s">
        <v>21</v>
      </c>
      <c r="B89" s="217" t="s">
        <v>146</v>
      </c>
      <c r="C89" s="211" t="s">
        <v>134</v>
      </c>
      <c r="D89" s="211">
        <v>1.05</v>
      </c>
      <c r="E89" s="213">
        <f>D89*E84*1.4/1000</f>
        <v>3.3727679999999996E-2</v>
      </c>
      <c r="F89" s="226"/>
      <c r="G89" s="226"/>
      <c r="H89" s="226"/>
      <c r="I89" s="226"/>
      <c r="J89" s="226"/>
      <c r="K89" s="226"/>
      <c r="L89" s="536"/>
      <c r="M89" s="544"/>
      <c r="N89" s="544"/>
      <c r="O89" s="544"/>
      <c r="P89" s="544"/>
      <c r="Q89" s="544"/>
      <c r="R89" s="79"/>
    </row>
    <row r="90" spans="1:18" s="214" customFormat="1" ht="14.5">
      <c r="A90" s="211" t="s">
        <v>21</v>
      </c>
      <c r="B90" s="217" t="s">
        <v>147</v>
      </c>
      <c r="C90" s="211" t="s">
        <v>134</v>
      </c>
      <c r="D90" s="211">
        <v>1.05</v>
      </c>
      <c r="E90" s="213">
        <f>D90*E84*17/1000</f>
        <v>0.40955040000000004</v>
      </c>
      <c r="F90" s="226"/>
      <c r="G90" s="226"/>
      <c r="H90" s="226"/>
      <c r="I90" s="226"/>
      <c r="J90" s="226"/>
      <c r="K90" s="226"/>
      <c r="L90" s="536"/>
      <c r="M90" s="544"/>
      <c r="N90" s="544"/>
      <c r="O90" s="544"/>
      <c r="P90" s="544"/>
      <c r="Q90" s="544"/>
      <c r="R90" s="79"/>
    </row>
    <row r="91" spans="1:18" s="214" customFormat="1" ht="14.5">
      <c r="A91" s="211"/>
      <c r="B91" s="217" t="s">
        <v>145</v>
      </c>
      <c r="C91" s="211" t="s">
        <v>130</v>
      </c>
      <c r="D91" s="211">
        <v>1</v>
      </c>
      <c r="E91" s="213">
        <f>D91*E83</f>
        <v>4.5888</v>
      </c>
      <c r="F91" s="226"/>
      <c r="G91" s="226"/>
      <c r="H91" s="226"/>
      <c r="I91" s="226"/>
      <c r="J91" s="226"/>
      <c r="K91" s="226"/>
      <c r="L91" s="536"/>
      <c r="M91" s="544"/>
      <c r="N91" s="544"/>
      <c r="O91" s="544"/>
      <c r="P91" s="544"/>
      <c r="Q91" s="544"/>
      <c r="R91" s="547"/>
    </row>
    <row r="92" spans="1:18" s="210" customFormat="1" ht="33.75" customHeight="1">
      <c r="A92" s="206">
        <f>A83+1</f>
        <v>15</v>
      </c>
      <c r="B92" s="209" t="s">
        <v>143</v>
      </c>
      <c r="C92" s="206" t="s">
        <v>130</v>
      </c>
      <c r="D92" s="206"/>
      <c r="E92" s="218">
        <f>'თბოქსელი მოცულობები'!F8</f>
        <v>5.5065599999999995</v>
      </c>
      <c r="F92" s="241"/>
      <c r="G92" s="241"/>
      <c r="H92" s="241"/>
      <c r="I92" s="241"/>
      <c r="J92" s="241"/>
      <c r="K92" s="241"/>
      <c r="L92" s="536"/>
      <c r="M92" s="539"/>
      <c r="N92" s="539"/>
      <c r="O92" s="539"/>
      <c r="P92" s="539"/>
      <c r="Q92" s="539"/>
      <c r="R92" s="541"/>
    </row>
    <row r="93" spans="1:18" s="214" customFormat="1" ht="16" customHeight="1">
      <c r="A93" s="211" t="s">
        <v>21</v>
      </c>
      <c r="B93" s="217" t="s">
        <v>4</v>
      </c>
      <c r="C93" s="211" t="s">
        <v>39</v>
      </c>
      <c r="D93" s="211">
        <v>1</v>
      </c>
      <c r="E93" s="213">
        <f>'თბოქსელი მოცულობები'!Q8</f>
        <v>27.532799999999998</v>
      </c>
      <c r="F93" s="226"/>
      <c r="G93" s="226"/>
      <c r="H93" s="226"/>
      <c r="I93" s="226"/>
      <c r="J93" s="226"/>
      <c r="K93" s="226"/>
      <c r="L93" s="536"/>
      <c r="M93" s="544"/>
      <c r="N93" s="544"/>
      <c r="O93" s="544"/>
      <c r="P93" s="544"/>
      <c r="Q93" s="544"/>
      <c r="R93" s="79"/>
    </row>
    <row r="94" spans="1:18" s="214" customFormat="1" ht="16" customHeight="1">
      <c r="A94" s="211" t="s">
        <v>21</v>
      </c>
      <c r="B94" s="212" t="s">
        <v>131</v>
      </c>
      <c r="C94" s="211" t="s">
        <v>130</v>
      </c>
      <c r="D94" s="211">
        <v>1.0149999999999999</v>
      </c>
      <c r="E94" s="216">
        <f>D94*E92</f>
        <v>5.5891583999999987</v>
      </c>
      <c r="F94" s="226"/>
      <c r="G94" s="226"/>
      <c r="H94" s="226"/>
      <c r="I94" s="226"/>
      <c r="J94" s="226"/>
      <c r="K94" s="226"/>
      <c r="L94" s="536"/>
      <c r="M94" s="544"/>
      <c r="N94" s="548"/>
      <c r="O94" s="544"/>
      <c r="P94" s="544"/>
      <c r="Q94" s="544"/>
      <c r="R94" s="79"/>
    </row>
    <row r="95" spans="1:18" s="214" customFormat="1" ht="16" customHeight="1">
      <c r="A95" s="211" t="s">
        <v>21</v>
      </c>
      <c r="B95" s="215" t="s">
        <v>140</v>
      </c>
      <c r="C95" s="211" t="s">
        <v>130</v>
      </c>
      <c r="D95" s="211">
        <f>D94</f>
        <v>1.0149999999999999</v>
      </c>
      <c r="E95" s="216">
        <f>D95*E92</f>
        <v>5.5891583999999987</v>
      </c>
      <c r="F95" s="226"/>
      <c r="G95" s="545"/>
      <c r="H95" s="226"/>
      <c r="I95" s="545"/>
      <c r="J95" s="226"/>
      <c r="K95" s="545"/>
      <c r="L95" s="536"/>
      <c r="M95" s="544"/>
      <c r="N95" s="544"/>
      <c r="O95" s="544"/>
      <c r="P95" s="544"/>
      <c r="Q95" s="544"/>
      <c r="R95" s="537"/>
    </row>
    <row r="96" spans="1:18" s="214" customFormat="1" ht="16" customHeight="1">
      <c r="A96" s="211" t="s">
        <v>21</v>
      </c>
      <c r="B96" s="215" t="s">
        <v>132</v>
      </c>
      <c r="C96" s="211" t="s">
        <v>130</v>
      </c>
      <c r="D96" s="211">
        <v>1</v>
      </c>
      <c r="E96" s="213">
        <f>D96*E92</f>
        <v>5.5065599999999995</v>
      </c>
      <c r="F96" s="226"/>
      <c r="G96" s="226"/>
      <c r="H96" s="226"/>
      <c r="I96" s="545"/>
      <c r="J96" s="226"/>
      <c r="K96" s="545"/>
      <c r="L96" s="536"/>
      <c r="M96" s="544"/>
      <c r="N96" s="544"/>
      <c r="O96" s="544"/>
      <c r="P96" s="544"/>
      <c r="Q96" s="544"/>
      <c r="R96" s="79"/>
    </row>
    <row r="97" spans="1:18" s="214" customFormat="1" ht="16" customHeight="1">
      <c r="A97" s="211" t="s">
        <v>21</v>
      </c>
      <c r="B97" s="212" t="s">
        <v>133</v>
      </c>
      <c r="C97" s="211" t="s">
        <v>134</v>
      </c>
      <c r="D97" s="211"/>
      <c r="E97" s="213">
        <f>E98+E99</f>
        <v>0.53193369600000007</v>
      </c>
      <c r="F97" s="226"/>
      <c r="G97" s="226"/>
      <c r="H97" s="226"/>
      <c r="I97" s="226"/>
      <c r="J97" s="226"/>
      <c r="K97" s="226"/>
      <c r="L97" s="536"/>
      <c r="M97" s="544"/>
      <c r="N97" s="544"/>
      <c r="O97" s="544"/>
      <c r="P97" s="544"/>
      <c r="Q97" s="544"/>
      <c r="R97" s="546"/>
    </row>
    <row r="98" spans="1:18" s="214" customFormat="1" ht="16" customHeight="1">
      <c r="A98" s="211" t="s">
        <v>21</v>
      </c>
      <c r="B98" s="212" t="s">
        <v>135</v>
      </c>
      <c r="C98" s="211" t="s">
        <v>134</v>
      </c>
      <c r="D98" s="211">
        <v>1.05</v>
      </c>
      <c r="E98" s="213">
        <f>D98*E93*1.4/1000</f>
        <v>4.0473215999999999E-2</v>
      </c>
      <c r="F98" s="226"/>
      <c r="G98" s="226"/>
      <c r="H98" s="226"/>
      <c r="I98" s="226"/>
      <c r="J98" s="226"/>
      <c r="K98" s="226"/>
      <c r="L98" s="536"/>
      <c r="M98" s="544"/>
      <c r="N98" s="544"/>
      <c r="O98" s="544"/>
      <c r="P98" s="544"/>
      <c r="Q98" s="544"/>
      <c r="R98" s="537"/>
    </row>
    <row r="99" spans="1:18" s="214" customFormat="1" ht="16" customHeight="1">
      <c r="A99" s="211" t="s">
        <v>21</v>
      </c>
      <c r="B99" s="217" t="s">
        <v>136</v>
      </c>
      <c r="C99" s="211" t="s">
        <v>134</v>
      </c>
      <c r="D99" s="211">
        <v>1.05</v>
      </c>
      <c r="E99" s="213">
        <f>D99*E93*17/1000</f>
        <v>0.49146048000000003</v>
      </c>
      <c r="F99" s="226"/>
      <c r="G99" s="226"/>
      <c r="H99" s="226"/>
      <c r="I99" s="226"/>
      <c r="J99" s="226"/>
      <c r="K99" s="226"/>
      <c r="L99" s="536"/>
      <c r="M99" s="544"/>
      <c r="N99" s="544"/>
      <c r="O99" s="544"/>
      <c r="P99" s="544"/>
      <c r="Q99" s="544"/>
      <c r="R99" s="537"/>
    </row>
    <row r="100" spans="1:18" s="214" customFormat="1" ht="16" customHeight="1">
      <c r="A100" s="211"/>
      <c r="B100" s="217" t="s">
        <v>145</v>
      </c>
      <c r="C100" s="211" t="s">
        <v>130</v>
      </c>
      <c r="D100" s="211">
        <v>1</v>
      </c>
      <c r="E100" s="213">
        <f>D100*E92</f>
        <v>5.5065599999999995</v>
      </c>
      <c r="F100" s="226"/>
      <c r="G100" s="226"/>
      <c r="H100" s="226"/>
      <c r="I100" s="226"/>
      <c r="J100" s="226"/>
      <c r="K100" s="226"/>
      <c r="L100" s="536"/>
      <c r="M100" s="544"/>
      <c r="N100" s="544"/>
      <c r="O100" s="544"/>
      <c r="P100" s="544"/>
      <c r="Q100" s="544"/>
      <c r="R100" s="547"/>
    </row>
    <row r="101" spans="1:18" s="210" customFormat="1" ht="32.25" customHeight="1">
      <c r="A101" s="206">
        <f>A92+1</f>
        <v>16</v>
      </c>
      <c r="B101" s="209" t="s">
        <v>144</v>
      </c>
      <c r="C101" s="206" t="s">
        <v>130</v>
      </c>
      <c r="D101" s="206"/>
      <c r="E101" s="218">
        <f>'თბოქსელი მოცულობები'!D8</f>
        <v>4.5888</v>
      </c>
      <c r="F101" s="241"/>
      <c r="G101" s="241"/>
      <c r="H101" s="241"/>
      <c r="I101" s="241"/>
      <c r="J101" s="241"/>
      <c r="K101" s="241"/>
      <c r="L101" s="536"/>
      <c r="M101" s="539"/>
      <c r="N101" s="539"/>
      <c r="O101" s="539"/>
      <c r="P101" s="539"/>
      <c r="Q101" s="539"/>
      <c r="R101" s="541"/>
    </row>
    <row r="102" spans="1:18" s="214" customFormat="1" ht="16" customHeight="1">
      <c r="A102" s="211" t="s">
        <v>21</v>
      </c>
      <c r="B102" s="212" t="s">
        <v>4</v>
      </c>
      <c r="C102" s="211" t="s">
        <v>39</v>
      </c>
      <c r="D102" s="211">
        <v>1</v>
      </c>
      <c r="E102" s="213">
        <f>'თბოქსელი მოცულობები'!I8</f>
        <v>22.943999999999999</v>
      </c>
      <c r="F102" s="226"/>
      <c r="G102" s="226"/>
      <c r="H102" s="226"/>
      <c r="I102" s="226"/>
      <c r="J102" s="226"/>
      <c r="K102" s="545"/>
      <c r="L102" s="536"/>
      <c r="M102" s="544"/>
      <c r="N102" s="544"/>
      <c r="O102" s="544"/>
      <c r="P102" s="544"/>
      <c r="Q102" s="544"/>
      <c r="R102" s="79"/>
    </row>
    <row r="103" spans="1:18" s="214" customFormat="1" ht="16" customHeight="1">
      <c r="A103" s="211" t="s">
        <v>21</v>
      </c>
      <c r="B103" s="215" t="s">
        <v>131</v>
      </c>
      <c r="C103" s="211" t="s">
        <v>130</v>
      </c>
      <c r="D103" s="211">
        <v>1.0149999999999999</v>
      </c>
      <c r="E103" s="216">
        <f>D103*E101</f>
        <v>4.6576319999999996</v>
      </c>
      <c r="F103" s="226"/>
      <c r="G103" s="545"/>
      <c r="H103" s="226"/>
      <c r="I103" s="545"/>
      <c r="J103" s="226"/>
      <c r="K103" s="545"/>
      <c r="L103" s="536"/>
      <c r="M103" s="544"/>
      <c r="N103" s="544"/>
      <c r="O103" s="544"/>
      <c r="P103" s="544"/>
      <c r="Q103" s="544"/>
      <c r="R103" s="79"/>
    </row>
    <row r="104" spans="1:18" s="214" customFormat="1" ht="16" customHeight="1">
      <c r="A104" s="211" t="s">
        <v>21</v>
      </c>
      <c r="B104" s="215" t="s">
        <v>140</v>
      </c>
      <c r="C104" s="211" t="s">
        <v>130</v>
      </c>
      <c r="D104" s="211">
        <f>D103</f>
        <v>1.0149999999999999</v>
      </c>
      <c r="E104" s="216">
        <f>D104*E101</f>
        <v>4.6576319999999996</v>
      </c>
      <c r="F104" s="226"/>
      <c r="G104" s="545"/>
      <c r="H104" s="226"/>
      <c r="I104" s="545"/>
      <c r="J104" s="226"/>
      <c r="K104" s="545"/>
      <c r="L104" s="536"/>
      <c r="M104" s="544"/>
      <c r="N104" s="544"/>
      <c r="O104" s="544"/>
      <c r="P104" s="544"/>
      <c r="Q104" s="544"/>
      <c r="R104" s="537"/>
    </row>
    <row r="105" spans="1:18" s="214" customFormat="1" ht="16" customHeight="1">
      <c r="A105" s="211" t="s">
        <v>21</v>
      </c>
      <c r="B105" s="212" t="s">
        <v>132</v>
      </c>
      <c r="C105" s="211" t="s">
        <v>130</v>
      </c>
      <c r="D105" s="211">
        <v>1</v>
      </c>
      <c r="E105" s="213">
        <f>D105*E101</f>
        <v>4.5888</v>
      </c>
      <c r="F105" s="226"/>
      <c r="G105" s="226"/>
      <c r="H105" s="226"/>
      <c r="I105" s="226"/>
      <c r="J105" s="226"/>
      <c r="K105" s="226"/>
      <c r="L105" s="536"/>
      <c r="M105" s="544"/>
      <c r="N105" s="544"/>
      <c r="O105" s="544"/>
      <c r="P105" s="544"/>
      <c r="Q105" s="544"/>
      <c r="R105" s="79"/>
    </row>
    <row r="106" spans="1:18" s="214" customFormat="1" ht="16" customHeight="1">
      <c r="A106" s="211" t="s">
        <v>21</v>
      </c>
      <c r="B106" s="212" t="s">
        <v>133</v>
      </c>
      <c r="C106" s="211" t="s">
        <v>134</v>
      </c>
      <c r="D106" s="211"/>
      <c r="E106" s="213">
        <f>E107+E108</f>
        <v>0.44327808000000002</v>
      </c>
      <c r="F106" s="226"/>
      <c r="G106" s="226"/>
      <c r="H106" s="226"/>
      <c r="I106" s="226"/>
      <c r="J106" s="226"/>
      <c r="K106" s="226"/>
      <c r="L106" s="536"/>
      <c r="M106" s="544"/>
      <c r="N106" s="544"/>
      <c r="O106" s="544"/>
      <c r="P106" s="544"/>
      <c r="Q106" s="544"/>
      <c r="R106" s="546"/>
    </row>
    <row r="107" spans="1:18" s="214" customFormat="1" ht="16" customHeight="1">
      <c r="A107" s="211" t="s">
        <v>21</v>
      </c>
      <c r="B107" s="217" t="s">
        <v>135</v>
      </c>
      <c r="C107" s="211" t="s">
        <v>134</v>
      </c>
      <c r="D107" s="211">
        <v>1.05</v>
      </c>
      <c r="E107" s="213">
        <f>D107*E102*1.4/1000</f>
        <v>3.3727679999999996E-2</v>
      </c>
      <c r="F107" s="226"/>
      <c r="G107" s="226"/>
      <c r="H107" s="226"/>
      <c r="I107" s="226"/>
      <c r="J107" s="226"/>
      <c r="K107" s="226"/>
      <c r="L107" s="536"/>
      <c r="M107" s="544"/>
      <c r="N107" s="544"/>
      <c r="O107" s="544"/>
      <c r="P107" s="544"/>
      <c r="Q107" s="544"/>
      <c r="R107" s="537"/>
    </row>
    <row r="108" spans="1:18" s="214" customFormat="1" ht="16" customHeight="1">
      <c r="A108" s="211" t="s">
        <v>21</v>
      </c>
      <c r="B108" s="217" t="s">
        <v>136</v>
      </c>
      <c r="C108" s="211" t="s">
        <v>134</v>
      </c>
      <c r="D108" s="211">
        <v>1.05</v>
      </c>
      <c r="E108" s="213">
        <f>D108*E102*17/1000</f>
        <v>0.40955040000000004</v>
      </c>
      <c r="F108" s="226"/>
      <c r="G108" s="226"/>
      <c r="H108" s="226"/>
      <c r="I108" s="226"/>
      <c r="J108" s="226"/>
      <c r="K108" s="226"/>
      <c r="L108" s="536"/>
      <c r="M108" s="544"/>
      <c r="N108" s="544"/>
      <c r="O108" s="544"/>
      <c r="P108" s="544"/>
      <c r="Q108" s="544"/>
      <c r="R108" s="537"/>
    </row>
    <row r="109" spans="1:18" s="221" customFormat="1" ht="14.5">
      <c r="A109" s="211" t="s">
        <v>21</v>
      </c>
      <c r="B109" s="217" t="s">
        <v>145</v>
      </c>
      <c r="C109" s="211" t="s">
        <v>130</v>
      </c>
      <c r="D109" s="211">
        <v>1</v>
      </c>
      <c r="E109" s="213">
        <f>D109*E101</f>
        <v>4.5888</v>
      </c>
      <c r="F109" s="226"/>
      <c r="G109" s="226"/>
      <c r="H109" s="226"/>
      <c r="I109" s="226"/>
      <c r="J109" s="226"/>
      <c r="K109" s="226"/>
      <c r="L109" s="536"/>
      <c r="M109" s="549"/>
      <c r="N109" s="549"/>
      <c r="O109" s="549"/>
      <c r="P109" s="549"/>
      <c r="Q109" s="549"/>
      <c r="R109" s="550"/>
    </row>
    <row r="110" spans="1:18" s="222" customFormat="1" ht="36" customHeight="1">
      <c r="A110" s="219"/>
      <c r="B110" s="209" t="s">
        <v>137</v>
      </c>
      <c r="C110" s="219" t="s">
        <v>138</v>
      </c>
      <c r="D110" s="219"/>
      <c r="E110" s="220">
        <v>3</v>
      </c>
      <c r="F110" s="551"/>
      <c r="G110" s="551"/>
      <c r="H110" s="551"/>
      <c r="I110" s="551"/>
      <c r="J110" s="551"/>
      <c r="K110" s="551"/>
      <c r="L110" s="536"/>
      <c r="M110" s="552"/>
      <c r="N110" s="552"/>
      <c r="O110" s="552"/>
      <c r="P110" s="552"/>
      <c r="Q110" s="552"/>
      <c r="R110" s="553"/>
    </row>
    <row r="111" spans="1:18" s="228" customFormat="1" ht="24.75" customHeight="1">
      <c r="A111" s="223"/>
      <c r="B111" s="224" t="s">
        <v>59</v>
      </c>
      <c r="C111" s="224" t="s">
        <v>139</v>
      </c>
      <c r="D111" s="224"/>
      <c r="E111" s="225"/>
      <c r="F111" s="226"/>
      <c r="G111" s="227"/>
      <c r="H111" s="226"/>
      <c r="I111" s="227"/>
      <c r="J111" s="226"/>
      <c r="K111" s="227"/>
      <c r="L111" s="227"/>
      <c r="M111" s="554"/>
      <c r="N111" s="554"/>
      <c r="O111" s="554"/>
      <c r="P111" s="554"/>
      <c r="Q111" s="554"/>
      <c r="R111" s="555"/>
    </row>
    <row r="112" spans="1:18" s="5" customFormat="1" ht="26">
      <c r="A112" s="72"/>
      <c r="B112" s="454" t="s">
        <v>253</v>
      </c>
      <c r="C112" s="93"/>
      <c r="D112" s="59"/>
      <c r="E112" s="64"/>
      <c r="F112" s="58"/>
      <c r="G112" s="58"/>
      <c r="H112" s="111"/>
      <c r="I112" s="58"/>
      <c r="J112" s="58"/>
      <c r="K112" s="58"/>
      <c r="L112" s="226"/>
      <c r="M112" s="525"/>
      <c r="N112" s="525"/>
      <c r="O112" s="525"/>
      <c r="P112" s="525"/>
      <c r="Q112" s="525"/>
      <c r="R112" s="525"/>
    </row>
    <row r="113" spans="1:18" s="6" customFormat="1" ht="33" customHeight="1">
      <c r="A113" s="73"/>
      <c r="B113" s="71" t="s">
        <v>59</v>
      </c>
      <c r="C113" s="71" t="s">
        <v>65</v>
      </c>
      <c r="D113" s="69"/>
      <c r="E113" s="69"/>
      <c r="F113" s="62"/>
      <c r="G113" s="62"/>
      <c r="H113" s="112"/>
      <c r="I113" s="62"/>
      <c r="J113" s="62"/>
      <c r="K113" s="62"/>
      <c r="L113" s="227"/>
      <c r="M113" s="526"/>
      <c r="N113" s="526"/>
      <c r="O113" s="526"/>
      <c r="P113" s="526"/>
      <c r="Q113" s="526"/>
      <c r="R113" s="556"/>
    </row>
    <row r="114" spans="1:18" s="40" customFormat="1" ht="33" customHeight="1">
      <c r="A114" s="74"/>
      <c r="B114" s="70" t="s">
        <v>60</v>
      </c>
      <c r="C114" s="93"/>
      <c r="D114" s="59"/>
      <c r="E114" s="59"/>
      <c r="F114" s="58"/>
      <c r="G114" s="58"/>
      <c r="H114" s="111"/>
      <c r="I114" s="58"/>
      <c r="J114" s="58"/>
      <c r="K114" s="58"/>
      <c r="L114" s="226"/>
      <c r="R114" s="463"/>
    </row>
    <row r="115" spans="1:18" s="40" customFormat="1" ht="33" customHeight="1">
      <c r="A115" s="73"/>
      <c r="B115" s="71" t="s">
        <v>59</v>
      </c>
      <c r="C115" s="71" t="s">
        <v>65</v>
      </c>
      <c r="D115" s="75"/>
      <c r="E115" s="75"/>
      <c r="F115" s="58"/>
      <c r="G115" s="58"/>
      <c r="H115" s="111"/>
      <c r="I115" s="58"/>
      <c r="J115" s="58"/>
      <c r="K115" s="58"/>
      <c r="L115" s="227"/>
      <c r="M115" s="41"/>
      <c r="R115" s="463"/>
    </row>
    <row r="116" spans="1:18" s="40" customFormat="1" ht="33" customHeight="1">
      <c r="A116" s="72"/>
      <c r="B116" s="72" t="s">
        <v>61</v>
      </c>
      <c r="C116" s="94"/>
      <c r="D116" s="59"/>
      <c r="E116" s="59"/>
      <c r="F116" s="58"/>
      <c r="G116" s="58"/>
      <c r="H116" s="111"/>
      <c r="I116" s="58"/>
      <c r="J116" s="58"/>
      <c r="K116" s="58"/>
      <c r="L116" s="226"/>
      <c r="R116" s="463"/>
    </row>
    <row r="117" spans="1:18" s="42" customFormat="1" ht="33" customHeight="1">
      <c r="A117" s="73"/>
      <c r="B117" s="71" t="s">
        <v>59</v>
      </c>
      <c r="C117" s="71" t="s">
        <v>65</v>
      </c>
      <c r="D117" s="75"/>
      <c r="E117" s="75"/>
      <c r="F117" s="58"/>
      <c r="G117" s="58"/>
      <c r="H117" s="111"/>
      <c r="I117" s="58"/>
      <c r="J117" s="58"/>
      <c r="K117" s="58"/>
      <c r="L117" s="227"/>
      <c r="M117" s="24"/>
      <c r="R117" s="464"/>
    </row>
    <row r="118" spans="1:18" s="45" customFormat="1" ht="33" customHeight="1">
      <c r="A118" s="72"/>
      <c r="B118" s="72" t="s">
        <v>62</v>
      </c>
      <c r="C118" s="95"/>
      <c r="D118" s="60"/>
      <c r="E118" s="60"/>
      <c r="F118" s="62"/>
      <c r="G118" s="62"/>
      <c r="H118" s="112"/>
      <c r="I118" s="62"/>
      <c r="J118" s="62"/>
      <c r="K118" s="62"/>
      <c r="L118" s="226"/>
      <c r="M118" s="43"/>
      <c r="N118" s="43"/>
      <c r="O118" s="44"/>
      <c r="R118" s="465"/>
    </row>
    <row r="119" spans="1:18" s="48" customFormat="1" ht="33" customHeight="1">
      <c r="A119" s="73"/>
      <c r="B119" s="71" t="s">
        <v>59</v>
      </c>
      <c r="C119" s="71" t="s">
        <v>65</v>
      </c>
      <c r="D119" s="75"/>
      <c r="E119" s="75"/>
      <c r="F119" s="58"/>
      <c r="G119" s="58"/>
      <c r="H119" s="111"/>
      <c r="I119" s="58"/>
      <c r="J119" s="58"/>
      <c r="K119" s="58"/>
      <c r="L119" s="227"/>
      <c r="M119" s="46"/>
      <c r="N119" s="47"/>
      <c r="O119" s="47"/>
      <c r="R119" s="466"/>
    </row>
    <row r="120" spans="1:18" s="49" customFormat="1" ht="33" customHeight="1">
      <c r="A120" s="72"/>
      <c r="B120" s="72" t="s">
        <v>63</v>
      </c>
      <c r="C120" s="95"/>
      <c r="D120" s="59"/>
      <c r="E120" s="60"/>
      <c r="F120" s="62"/>
      <c r="G120" s="62"/>
      <c r="H120" s="112"/>
      <c r="I120" s="62"/>
      <c r="J120" s="62"/>
      <c r="K120" s="62"/>
      <c r="L120" s="226"/>
      <c r="N120" s="50"/>
      <c r="O120" s="50"/>
      <c r="R120" s="467"/>
    </row>
    <row r="121" spans="1:18" s="48" customFormat="1" ht="33" customHeight="1">
      <c r="A121" s="73"/>
      <c r="B121" s="71" t="s">
        <v>64</v>
      </c>
      <c r="C121" s="71" t="s">
        <v>65</v>
      </c>
      <c r="D121" s="75"/>
      <c r="E121" s="75"/>
      <c r="F121" s="58"/>
      <c r="G121" s="58"/>
      <c r="H121" s="111"/>
      <c r="I121" s="58"/>
      <c r="J121" s="58"/>
      <c r="K121" s="58"/>
      <c r="L121" s="227"/>
      <c r="R121" s="466"/>
    </row>
    <row r="122" spans="1:18">
      <c r="F122" s="557"/>
      <c r="G122" s="557"/>
      <c r="H122" s="557"/>
      <c r="I122" s="557"/>
      <c r="J122" s="557"/>
      <c r="K122" s="557"/>
      <c r="L122" s="557"/>
      <c r="M122" s="558"/>
      <c r="N122" s="558"/>
      <c r="O122" s="558"/>
      <c r="P122" s="558"/>
      <c r="Q122" s="558"/>
      <c r="R122" s="559"/>
    </row>
    <row r="123" spans="1:18">
      <c r="F123" s="557"/>
      <c r="G123" s="557"/>
      <c r="H123" s="557"/>
      <c r="I123" s="557"/>
      <c r="J123" s="557"/>
      <c r="K123" s="557"/>
      <c r="L123" s="557"/>
      <c r="M123" s="558"/>
      <c r="N123" s="558"/>
      <c r="O123" s="558"/>
      <c r="P123" s="558"/>
      <c r="Q123" s="558"/>
      <c r="R123" s="559"/>
    </row>
    <row r="124" spans="1:18">
      <c r="F124" s="557"/>
      <c r="G124" s="557"/>
      <c r="H124" s="557"/>
      <c r="I124" s="557"/>
      <c r="J124" s="557"/>
      <c r="K124" s="557"/>
      <c r="L124" s="557"/>
      <c r="M124" s="558"/>
      <c r="N124" s="558"/>
      <c r="O124" s="558"/>
      <c r="P124" s="558"/>
      <c r="Q124" s="558"/>
      <c r="R124" s="559"/>
    </row>
    <row r="125" spans="1:18">
      <c r="F125" s="557"/>
      <c r="G125" s="557"/>
      <c r="H125" s="557"/>
      <c r="I125" s="557"/>
      <c r="J125" s="557"/>
      <c r="K125" s="557"/>
      <c r="L125" s="557"/>
      <c r="M125" s="558"/>
      <c r="N125" s="558"/>
      <c r="O125" s="558"/>
      <c r="P125" s="558"/>
      <c r="Q125" s="558"/>
      <c r="R125" s="559"/>
    </row>
    <row r="126" spans="1:18">
      <c r="F126" s="557"/>
      <c r="G126" s="557"/>
      <c r="H126" s="557"/>
      <c r="I126" s="557"/>
      <c r="J126" s="557"/>
      <c r="K126" s="557"/>
      <c r="L126" s="557"/>
      <c r="M126" s="558"/>
      <c r="N126" s="558"/>
      <c r="O126" s="558"/>
      <c r="P126" s="558"/>
      <c r="Q126" s="558"/>
      <c r="R126" s="559"/>
    </row>
    <row r="127" spans="1:18">
      <c r="F127" s="557"/>
      <c r="G127" s="557"/>
      <c r="H127" s="557"/>
      <c r="I127" s="557"/>
      <c r="J127" s="557"/>
      <c r="K127" s="557"/>
      <c r="L127" s="557"/>
      <c r="M127" s="558"/>
      <c r="N127" s="558"/>
      <c r="O127" s="558"/>
      <c r="P127" s="558"/>
      <c r="Q127" s="558"/>
      <c r="R127" s="559"/>
    </row>
    <row r="128" spans="1:18">
      <c r="F128" s="557"/>
      <c r="G128" s="557"/>
      <c r="H128" s="557"/>
      <c r="I128" s="557"/>
      <c r="J128" s="557"/>
      <c r="K128" s="557"/>
      <c r="L128" s="557"/>
      <c r="M128" s="558"/>
      <c r="N128" s="558"/>
      <c r="O128" s="558"/>
      <c r="P128" s="558"/>
      <c r="Q128" s="558"/>
      <c r="R128" s="559"/>
    </row>
    <row r="129" spans="6:18">
      <c r="F129" s="557"/>
      <c r="G129" s="557"/>
      <c r="H129" s="557"/>
      <c r="I129" s="557"/>
      <c r="J129" s="557"/>
      <c r="K129" s="557"/>
      <c r="L129" s="557"/>
      <c r="M129" s="558"/>
      <c r="N129" s="558"/>
      <c r="O129" s="558"/>
      <c r="P129" s="558"/>
      <c r="Q129" s="558"/>
      <c r="R129" s="559"/>
    </row>
    <row r="130" spans="6:18">
      <c r="F130" s="557"/>
      <c r="G130" s="557"/>
      <c r="H130" s="557"/>
      <c r="I130" s="557"/>
      <c r="J130" s="557"/>
      <c r="K130" s="557"/>
      <c r="L130" s="557"/>
      <c r="M130" s="558"/>
      <c r="N130" s="558"/>
      <c r="O130" s="558"/>
      <c r="P130" s="558"/>
      <c r="Q130" s="558"/>
      <c r="R130" s="559"/>
    </row>
    <row r="131" spans="6:18">
      <c r="F131" s="557"/>
      <c r="G131" s="557"/>
      <c r="H131" s="557"/>
      <c r="I131" s="557"/>
      <c r="J131" s="557"/>
      <c r="K131" s="557"/>
      <c r="L131" s="557"/>
      <c r="M131" s="558"/>
      <c r="N131" s="558"/>
      <c r="O131" s="558"/>
      <c r="P131" s="558"/>
      <c r="Q131" s="558"/>
      <c r="R131" s="559"/>
    </row>
    <row r="132" spans="6:18">
      <c r="F132" s="557"/>
      <c r="G132" s="557"/>
      <c r="H132" s="557"/>
      <c r="I132" s="557"/>
      <c r="J132" s="557"/>
      <c r="K132" s="557"/>
      <c r="L132" s="557"/>
      <c r="M132" s="558"/>
      <c r="N132" s="558"/>
      <c r="O132" s="558"/>
      <c r="P132" s="558"/>
      <c r="Q132" s="558"/>
      <c r="R132" s="559"/>
    </row>
    <row r="133" spans="6:18">
      <c r="F133" s="557"/>
      <c r="G133" s="557"/>
      <c r="H133" s="557"/>
      <c r="I133" s="557"/>
      <c r="J133" s="557"/>
      <c r="K133" s="557"/>
      <c r="L133" s="557"/>
      <c r="M133" s="558"/>
      <c r="N133" s="558"/>
      <c r="O133" s="558"/>
      <c r="P133" s="558"/>
      <c r="Q133" s="558"/>
      <c r="R133" s="559"/>
    </row>
    <row r="134" spans="6:18">
      <c r="F134" s="557"/>
      <c r="G134" s="557"/>
      <c r="H134" s="557"/>
      <c r="I134" s="557"/>
      <c r="J134" s="557"/>
      <c r="K134" s="557"/>
      <c r="L134" s="557"/>
      <c r="M134" s="558"/>
      <c r="N134" s="558"/>
      <c r="O134" s="558"/>
      <c r="P134" s="558"/>
      <c r="Q134" s="558"/>
      <c r="R134" s="559"/>
    </row>
    <row r="135" spans="6:18">
      <c r="F135" s="557"/>
      <c r="G135" s="557"/>
      <c r="H135" s="557"/>
      <c r="I135" s="557"/>
      <c r="J135" s="557"/>
      <c r="K135" s="557"/>
      <c r="L135" s="557"/>
      <c r="M135" s="558"/>
      <c r="N135" s="558"/>
      <c r="O135" s="558"/>
      <c r="P135" s="558"/>
      <c r="Q135" s="558"/>
      <c r="R135" s="559"/>
    </row>
    <row r="136" spans="6:18">
      <c r="F136" s="557"/>
      <c r="G136" s="557"/>
      <c r="H136" s="557"/>
      <c r="I136" s="557"/>
      <c r="J136" s="557"/>
      <c r="K136" s="557"/>
      <c r="L136" s="557"/>
      <c r="M136" s="558"/>
      <c r="N136" s="558"/>
      <c r="O136" s="558"/>
      <c r="P136" s="558"/>
      <c r="Q136" s="558"/>
      <c r="R136" s="559"/>
    </row>
    <row r="137" spans="6:18">
      <c r="F137" s="557"/>
      <c r="G137" s="557"/>
      <c r="H137" s="557"/>
      <c r="I137" s="557"/>
      <c r="J137" s="557"/>
      <c r="K137" s="557"/>
      <c r="L137" s="557"/>
      <c r="M137" s="558"/>
      <c r="N137" s="558"/>
      <c r="O137" s="558"/>
      <c r="P137" s="558"/>
      <c r="Q137" s="558"/>
      <c r="R137" s="559"/>
    </row>
    <row r="138" spans="6:18">
      <c r="F138" s="557"/>
      <c r="G138" s="557"/>
      <c r="H138" s="557"/>
      <c r="I138" s="557"/>
      <c r="J138" s="557"/>
      <c r="K138" s="557"/>
      <c r="L138" s="557"/>
      <c r="M138" s="558"/>
      <c r="N138" s="558"/>
      <c r="O138" s="558"/>
      <c r="P138" s="558"/>
      <c r="Q138" s="558"/>
      <c r="R138" s="559"/>
    </row>
    <row r="139" spans="6:18">
      <c r="F139" s="557"/>
      <c r="G139" s="557"/>
      <c r="H139" s="557"/>
      <c r="I139" s="557"/>
      <c r="J139" s="557"/>
      <c r="K139" s="557"/>
      <c r="L139" s="557"/>
      <c r="M139" s="558"/>
      <c r="N139" s="558"/>
      <c r="O139" s="558"/>
      <c r="P139" s="558"/>
      <c r="Q139" s="558"/>
      <c r="R139" s="559"/>
    </row>
    <row r="140" spans="6:18">
      <c r="F140" s="557"/>
      <c r="G140" s="557"/>
      <c r="H140" s="557"/>
      <c r="I140" s="557"/>
      <c r="J140" s="557"/>
      <c r="K140" s="557"/>
      <c r="L140" s="557"/>
      <c r="M140" s="558"/>
      <c r="N140" s="558"/>
      <c r="O140" s="558"/>
      <c r="P140" s="558"/>
      <c r="Q140" s="558"/>
      <c r="R140" s="559"/>
    </row>
    <row r="141" spans="6:18">
      <c r="F141" s="557"/>
      <c r="G141" s="557"/>
      <c r="H141" s="557"/>
      <c r="I141" s="557"/>
      <c r="J141" s="557"/>
      <c r="K141" s="557"/>
      <c r="L141" s="557"/>
      <c r="M141" s="558"/>
      <c r="N141" s="558"/>
      <c r="O141" s="558"/>
      <c r="P141" s="558"/>
      <c r="Q141" s="558"/>
      <c r="R141" s="559"/>
    </row>
    <row r="142" spans="6:18">
      <c r="F142" s="557"/>
      <c r="G142" s="557"/>
      <c r="H142" s="557"/>
      <c r="I142" s="557"/>
      <c r="J142" s="557"/>
      <c r="K142" s="557"/>
      <c r="L142" s="557"/>
      <c r="M142" s="558"/>
      <c r="N142" s="558"/>
      <c r="O142" s="558"/>
      <c r="P142" s="558"/>
      <c r="Q142" s="558"/>
      <c r="R142" s="559"/>
    </row>
    <row r="143" spans="6:18">
      <c r="F143" s="557"/>
      <c r="G143" s="557"/>
      <c r="H143" s="557"/>
      <c r="I143" s="557"/>
      <c r="J143" s="557"/>
      <c r="K143" s="557"/>
      <c r="L143" s="557"/>
      <c r="M143" s="558"/>
      <c r="N143" s="558"/>
      <c r="O143" s="558"/>
      <c r="P143" s="558"/>
      <c r="Q143" s="558"/>
      <c r="R143" s="559"/>
    </row>
    <row r="144" spans="6:18">
      <c r="F144" s="557"/>
      <c r="G144" s="557"/>
      <c r="H144" s="557"/>
      <c r="I144" s="557"/>
      <c r="J144" s="557"/>
      <c r="K144" s="557"/>
      <c r="L144" s="557"/>
      <c r="M144" s="558"/>
      <c r="N144" s="558"/>
      <c r="O144" s="558"/>
      <c r="P144" s="558"/>
      <c r="Q144" s="558"/>
      <c r="R144" s="559"/>
    </row>
    <row r="145" spans="6:18">
      <c r="F145" s="557"/>
      <c r="G145" s="557"/>
      <c r="H145" s="557"/>
      <c r="I145" s="557"/>
      <c r="J145" s="557"/>
      <c r="K145" s="557"/>
      <c r="L145" s="557"/>
      <c r="M145" s="558"/>
      <c r="N145" s="558"/>
      <c r="O145" s="558"/>
      <c r="P145" s="558"/>
      <c r="Q145" s="558"/>
      <c r="R145" s="559"/>
    </row>
    <row r="146" spans="6:18">
      <c r="F146" s="557"/>
      <c r="G146" s="557"/>
      <c r="H146" s="557"/>
      <c r="I146" s="557"/>
      <c r="J146" s="557"/>
      <c r="K146" s="557"/>
      <c r="L146" s="557"/>
      <c r="M146" s="558"/>
      <c r="N146" s="558"/>
      <c r="O146" s="558"/>
      <c r="P146" s="558"/>
      <c r="Q146" s="558"/>
      <c r="R146" s="559"/>
    </row>
    <row r="147" spans="6:18">
      <c r="F147" s="557"/>
      <c r="G147" s="557"/>
      <c r="H147" s="557"/>
      <c r="I147" s="557"/>
      <c r="J147" s="557"/>
      <c r="K147" s="557"/>
      <c r="L147" s="557"/>
      <c r="M147" s="558"/>
      <c r="N147" s="558"/>
      <c r="O147" s="558"/>
      <c r="P147" s="558"/>
      <c r="Q147" s="558"/>
      <c r="R147" s="559"/>
    </row>
    <row r="148" spans="6:18">
      <c r="F148" s="557"/>
      <c r="G148" s="557"/>
      <c r="H148" s="557"/>
      <c r="I148" s="557"/>
      <c r="J148" s="557"/>
      <c r="K148" s="557"/>
      <c r="L148" s="557"/>
      <c r="M148" s="558"/>
      <c r="N148" s="558"/>
      <c r="O148" s="558"/>
      <c r="P148" s="558"/>
      <c r="Q148" s="558"/>
      <c r="R148" s="559"/>
    </row>
    <row r="149" spans="6:18">
      <c r="F149" s="557"/>
      <c r="G149" s="557"/>
      <c r="H149" s="557"/>
      <c r="I149" s="557"/>
      <c r="J149" s="557"/>
      <c r="K149" s="557"/>
      <c r="L149" s="557"/>
      <c r="M149" s="558"/>
      <c r="N149" s="558"/>
      <c r="O149" s="558"/>
      <c r="P149" s="558"/>
      <c r="Q149" s="558"/>
      <c r="R149" s="559"/>
    </row>
    <row r="150" spans="6:18">
      <c r="F150" s="557"/>
      <c r="G150" s="557"/>
      <c r="H150" s="557"/>
      <c r="I150" s="557"/>
      <c r="J150" s="557"/>
      <c r="K150" s="557"/>
      <c r="L150" s="557"/>
      <c r="M150" s="558"/>
      <c r="N150" s="558"/>
      <c r="O150" s="558"/>
      <c r="P150" s="558"/>
      <c r="Q150" s="558"/>
      <c r="R150" s="559"/>
    </row>
    <row r="151" spans="6:18">
      <c r="F151" s="557"/>
      <c r="G151" s="557"/>
      <c r="H151" s="557"/>
      <c r="I151" s="557"/>
      <c r="J151" s="557"/>
      <c r="K151" s="557"/>
      <c r="L151" s="557"/>
      <c r="M151" s="558"/>
      <c r="N151" s="558"/>
      <c r="O151" s="558"/>
      <c r="P151" s="558"/>
      <c r="Q151" s="558"/>
      <c r="R151" s="559"/>
    </row>
  </sheetData>
  <autoFilter ref="A8:WSP111" xr:uid="{00000000-0009-0000-0000-000001000000}"/>
  <mergeCells count="13">
    <mergeCell ref="A1:K1"/>
    <mergeCell ref="A2:K2"/>
    <mergeCell ref="A3:K3"/>
    <mergeCell ref="A4:L4"/>
    <mergeCell ref="J7:K7"/>
    <mergeCell ref="L7:L8"/>
    <mergeCell ref="A7:A8"/>
    <mergeCell ref="B7:B8"/>
    <mergeCell ref="C7:C8"/>
    <mergeCell ref="D7:D8"/>
    <mergeCell ref="E7:E8"/>
    <mergeCell ref="F7:G7"/>
    <mergeCell ref="H7:I7"/>
  </mergeCells>
  <printOptions horizontalCentered="1"/>
  <pageMargins left="0.39370078740157483" right="0" top="0" bottom="0.39370078740157483" header="0" footer="0"/>
  <pageSetup scale="46" orientation="portrait" r:id="rId1"/>
  <headerFooter>
    <oddFooter>&amp;L&amp;"Arial Cyr,полужирный курсив"&amp;A&amp;C&amp;"Arial,полужирный курсив"&amp;9-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1320E-52BE-4704-A41D-4F24EDE3B518}">
  <sheetPr>
    <tabColor theme="5"/>
    <pageSetUpPr fitToPage="1"/>
  </sheetPr>
  <dimension ref="A1:P62"/>
  <sheetViews>
    <sheetView topLeftCell="A43" zoomScale="54" zoomScaleNormal="54" zoomScaleSheetLayoutView="55" workbookViewId="0">
      <selection activeCell="C58" sqref="C58"/>
    </sheetView>
  </sheetViews>
  <sheetFormatPr defaultColWidth="9.81640625" defaultRowHeight="14.5"/>
  <cols>
    <col min="1" max="1" width="9.26953125" style="117" customWidth="1"/>
    <col min="2" max="2" width="74.453125" style="117" customWidth="1"/>
    <col min="3" max="3" width="13.7265625" style="117" customWidth="1"/>
    <col min="4" max="4" width="14.26953125" style="117" bestFit="1" customWidth="1"/>
    <col min="5" max="5" width="13.7265625" style="421" customWidth="1"/>
    <col min="6" max="6" width="16.81640625" style="117" customWidth="1"/>
    <col min="7" max="7" width="19.1796875" style="117" customWidth="1"/>
    <col min="8" max="8" width="16.1796875" style="117" bestFit="1" customWidth="1"/>
    <col min="9" max="9" width="20.453125" style="117" customWidth="1"/>
    <col min="10" max="10" width="21.26953125" style="117" bestFit="1" customWidth="1"/>
    <col min="11" max="11" width="16.26953125" style="117" customWidth="1"/>
    <col min="12" max="12" width="68.453125" style="117" customWidth="1"/>
    <col min="13" max="253" width="9.81640625" style="117"/>
    <col min="254" max="254" width="9.26953125" style="117" customWidth="1"/>
    <col min="255" max="255" width="74.453125" style="117" customWidth="1"/>
    <col min="256" max="256" width="13.7265625" style="117" customWidth="1"/>
    <col min="257" max="257" width="14.26953125" style="117" bestFit="1" customWidth="1"/>
    <col min="258" max="258" width="10.81640625" style="117" bestFit="1" customWidth="1"/>
    <col min="259" max="259" width="17.7265625" style="117" bestFit="1" customWidth="1"/>
    <col min="260" max="260" width="22.453125" style="117" bestFit="1" customWidth="1"/>
    <col min="261" max="261" width="16.1796875" style="117" bestFit="1" customWidth="1"/>
    <col min="262" max="262" width="22.453125" style="117" bestFit="1" customWidth="1"/>
    <col min="263" max="263" width="16.1796875" style="117" customWidth="1"/>
    <col min="264" max="264" width="18.453125" style="117" customWidth="1"/>
    <col min="265" max="265" width="21.26953125" style="117" bestFit="1" customWidth="1"/>
    <col min="266" max="266" width="19.54296875" style="117" customWidth="1"/>
    <col min="267" max="509" width="9.81640625" style="117"/>
    <col min="510" max="510" width="9.26953125" style="117" customWidth="1"/>
    <col min="511" max="511" width="74.453125" style="117" customWidth="1"/>
    <col min="512" max="512" width="13.7265625" style="117" customWidth="1"/>
    <col min="513" max="513" width="14.26953125" style="117" bestFit="1" customWidth="1"/>
    <col min="514" max="514" width="10.81640625" style="117" bestFit="1" customWidth="1"/>
    <col min="515" max="515" width="17.7265625" style="117" bestFit="1" customWidth="1"/>
    <col min="516" max="516" width="22.453125" style="117" bestFit="1" customWidth="1"/>
    <col min="517" max="517" width="16.1796875" style="117" bestFit="1" customWidth="1"/>
    <col min="518" max="518" width="22.453125" style="117" bestFit="1" customWidth="1"/>
    <col min="519" max="519" width="16.1796875" style="117" customWidth="1"/>
    <col min="520" max="520" width="18.453125" style="117" customWidth="1"/>
    <col min="521" max="521" width="21.26953125" style="117" bestFit="1" customWidth="1"/>
    <col min="522" max="522" width="19.54296875" style="117" customWidth="1"/>
    <col min="523" max="765" width="9.81640625" style="117"/>
    <col min="766" max="766" width="9.26953125" style="117" customWidth="1"/>
    <col min="767" max="767" width="74.453125" style="117" customWidth="1"/>
    <col min="768" max="768" width="13.7265625" style="117" customWidth="1"/>
    <col min="769" max="769" width="14.26953125" style="117" bestFit="1" customWidth="1"/>
    <col min="770" max="770" width="10.81640625" style="117" bestFit="1" customWidth="1"/>
    <col min="771" max="771" width="17.7265625" style="117" bestFit="1" customWidth="1"/>
    <col min="772" max="772" width="22.453125" style="117" bestFit="1" customWidth="1"/>
    <col min="773" max="773" width="16.1796875" style="117" bestFit="1" customWidth="1"/>
    <col min="774" max="774" width="22.453125" style="117" bestFit="1" customWidth="1"/>
    <col min="775" max="775" width="16.1796875" style="117" customWidth="1"/>
    <col min="776" max="776" width="18.453125" style="117" customWidth="1"/>
    <col min="777" max="777" width="21.26953125" style="117" bestFit="1" customWidth="1"/>
    <col min="778" max="778" width="19.54296875" style="117" customWidth="1"/>
    <col min="779" max="1021" width="9.81640625" style="117"/>
    <col min="1022" max="1022" width="9.26953125" style="117" customWidth="1"/>
    <col min="1023" max="1023" width="74.453125" style="117" customWidth="1"/>
    <col min="1024" max="1024" width="13.7265625" style="117" customWidth="1"/>
    <col min="1025" max="1025" width="14.26953125" style="117" bestFit="1" customWidth="1"/>
    <col min="1026" max="1026" width="10.81640625" style="117" bestFit="1" customWidth="1"/>
    <col min="1027" max="1027" width="17.7265625" style="117" bestFit="1" customWidth="1"/>
    <col min="1028" max="1028" width="22.453125" style="117" bestFit="1" customWidth="1"/>
    <col min="1029" max="1029" width="16.1796875" style="117" bestFit="1" customWidth="1"/>
    <col min="1030" max="1030" width="22.453125" style="117" bestFit="1" customWidth="1"/>
    <col min="1031" max="1031" width="16.1796875" style="117" customWidth="1"/>
    <col min="1032" max="1032" width="18.453125" style="117" customWidth="1"/>
    <col min="1033" max="1033" width="21.26953125" style="117" bestFit="1" customWidth="1"/>
    <col min="1034" max="1034" width="19.54296875" style="117" customWidth="1"/>
    <col min="1035" max="1277" width="9.81640625" style="117"/>
    <col min="1278" max="1278" width="9.26953125" style="117" customWidth="1"/>
    <col min="1279" max="1279" width="74.453125" style="117" customWidth="1"/>
    <col min="1280" max="1280" width="13.7265625" style="117" customWidth="1"/>
    <col min="1281" max="1281" width="14.26953125" style="117" bestFit="1" customWidth="1"/>
    <col min="1282" max="1282" width="10.81640625" style="117" bestFit="1" customWidth="1"/>
    <col min="1283" max="1283" width="17.7265625" style="117" bestFit="1" customWidth="1"/>
    <col min="1284" max="1284" width="22.453125" style="117" bestFit="1" customWidth="1"/>
    <col min="1285" max="1285" width="16.1796875" style="117" bestFit="1" customWidth="1"/>
    <col min="1286" max="1286" width="22.453125" style="117" bestFit="1" customWidth="1"/>
    <col min="1287" max="1287" width="16.1796875" style="117" customWidth="1"/>
    <col min="1288" max="1288" width="18.453125" style="117" customWidth="1"/>
    <col min="1289" max="1289" width="21.26953125" style="117" bestFit="1" customWidth="1"/>
    <col min="1290" max="1290" width="19.54296875" style="117" customWidth="1"/>
    <col min="1291" max="1533" width="9.81640625" style="117"/>
    <col min="1534" max="1534" width="9.26953125" style="117" customWidth="1"/>
    <col min="1535" max="1535" width="74.453125" style="117" customWidth="1"/>
    <col min="1536" max="1536" width="13.7265625" style="117" customWidth="1"/>
    <col min="1537" max="1537" width="14.26953125" style="117" bestFit="1" customWidth="1"/>
    <col min="1538" max="1538" width="10.81640625" style="117" bestFit="1" customWidth="1"/>
    <col min="1539" max="1539" width="17.7265625" style="117" bestFit="1" customWidth="1"/>
    <col min="1540" max="1540" width="22.453125" style="117" bestFit="1" customWidth="1"/>
    <col min="1541" max="1541" width="16.1796875" style="117" bestFit="1" customWidth="1"/>
    <col min="1542" max="1542" width="22.453125" style="117" bestFit="1" customWidth="1"/>
    <col min="1543" max="1543" width="16.1796875" style="117" customWidth="1"/>
    <col min="1544" max="1544" width="18.453125" style="117" customWidth="1"/>
    <col min="1545" max="1545" width="21.26953125" style="117" bestFit="1" customWidth="1"/>
    <col min="1546" max="1546" width="19.54296875" style="117" customWidth="1"/>
    <col min="1547" max="1789" width="9.81640625" style="117"/>
    <col min="1790" max="1790" width="9.26953125" style="117" customWidth="1"/>
    <col min="1791" max="1791" width="74.453125" style="117" customWidth="1"/>
    <col min="1792" max="1792" width="13.7265625" style="117" customWidth="1"/>
    <col min="1793" max="1793" width="14.26953125" style="117" bestFit="1" customWidth="1"/>
    <col min="1794" max="1794" width="10.81640625" style="117" bestFit="1" customWidth="1"/>
    <col min="1795" max="1795" width="17.7265625" style="117" bestFit="1" customWidth="1"/>
    <col min="1796" max="1796" width="22.453125" style="117" bestFit="1" customWidth="1"/>
    <col min="1797" max="1797" width="16.1796875" style="117" bestFit="1" customWidth="1"/>
    <col min="1798" max="1798" width="22.453125" style="117" bestFit="1" customWidth="1"/>
    <col min="1799" max="1799" width="16.1796875" style="117" customWidth="1"/>
    <col min="1800" max="1800" width="18.453125" style="117" customWidth="1"/>
    <col min="1801" max="1801" width="21.26953125" style="117" bestFit="1" customWidth="1"/>
    <col min="1802" max="1802" width="19.54296875" style="117" customWidth="1"/>
    <col min="1803" max="2045" width="9.81640625" style="117"/>
    <col min="2046" max="2046" width="9.26953125" style="117" customWidth="1"/>
    <col min="2047" max="2047" width="74.453125" style="117" customWidth="1"/>
    <col min="2048" max="2048" width="13.7265625" style="117" customWidth="1"/>
    <col min="2049" max="2049" width="14.26953125" style="117" bestFit="1" customWidth="1"/>
    <col min="2050" max="2050" width="10.81640625" style="117" bestFit="1" customWidth="1"/>
    <col min="2051" max="2051" width="17.7265625" style="117" bestFit="1" customWidth="1"/>
    <col min="2052" max="2052" width="22.453125" style="117" bestFit="1" customWidth="1"/>
    <col min="2053" max="2053" width="16.1796875" style="117" bestFit="1" customWidth="1"/>
    <col min="2054" max="2054" width="22.453125" style="117" bestFit="1" customWidth="1"/>
    <col min="2055" max="2055" width="16.1796875" style="117" customWidth="1"/>
    <col min="2056" max="2056" width="18.453125" style="117" customWidth="1"/>
    <col min="2057" max="2057" width="21.26953125" style="117" bestFit="1" customWidth="1"/>
    <col min="2058" max="2058" width="19.54296875" style="117" customWidth="1"/>
    <col min="2059" max="2301" width="9.81640625" style="117"/>
    <col min="2302" max="2302" width="9.26953125" style="117" customWidth="1"/>
    <col min="2303" max="2303" width="74.453125" style="117" customWidth="1"/>
    <col min="2304" max="2304" width="13.7265625" style="117" customWidth="1"/>
    <col min="2305" max="2305" width="14.26953125" style="117" bestFit="1" customWidth="1"/>
    <col min="2306" max="2306" width="10.81640625" style="117" bestFit="1" customWidth="1"/>
    <col min="2307" max="2307" width="17.7265625" style="117" bestFit="1" customWidth="1"/>
    <col min="2308" max="2308" width="22.453125" style="117" bestFit="1" customWidth="1"/>
    <col min="2309" max="2309" width="16.1796875" style="117" bestFit="1" customWidth="1"/>
    <col min="2310" max="2310" width="22.453125" style="117" bestFit="1" customWidth="1"/>
    <col min="2311" max="2311" width="16.1796875" style="117" customWidth="1"/>
    <col min="2312" max="2312" width="18.453125" style="117" customWidth="1"/>
    <col min="2313" max="2313" width="21.26953125" style="117" bestFit="1" customWidth="1"/>
    <col min="2314" max="2314" width="19.54296875" style="117" customWidth="1"/>
    <col min="2315" max="2557" width="9.81640625" style="117"/>
    <col min="2558" max="2558" width="9.26953125" style="117" customWidth="1"/>
    <col min="2559" max="2559" width="74.453125" style="117" customWidth="1"/>
    <col min="2560" max="2560" width="13.7265625" style="117" customWidth="1"/>
    <col min="2561" max="2561" width="14.26953125" style="117" bestFit="1" customWidth="1"/>
    <col min="2562" max="2562" width="10.81640625" style="117" bestFit="1" customWidth="1"/>
    <col min="2563" max="2563" width="17.7265625" style="117" bestFit="1" customWidth="1"/>
    <col min="2564" max="2564" width="22.453125" style="117" bestFit="1" customWidth="1"/>
    <col min="2565" max="2565" width="16.1796875" style="117" bestFit="1" customWidth="1"/>
    <col min="2566" max="2566" width="22.453125" style="117" bestFit="1" customWidth="1"/>
    <col min="2567" max="2567" width="16.1796875" style="117" customWidth="1"/>
    <col min="2568" max="2568" width="18.453125" style="117" customWidth="1"/>
    <col min="2569" max="2569" width="21.26953125" style="117" bestFit="1" customWidth="1"/>
    <col min="2570" max="2570" width="19.54296875" style="117" customWidth="1"/>
    <col min="2571" max="2813" width="9.81640625" style="117"/>
    <col min="2814" max="2814" width="9.26953125" style="117" customWidth="1"/>
    <col min="2815" max="2815" width="74.453125" style="117" customWidth="1"/>
    <col min="2816" max="2816" width="13.7265625" style="117" customWidth="1"/>
    <col min="2817" max="2817" width="14.26953125" style="117" bestFit="1" customWidth="1"/>
    <col min="2818" max="2818" width="10.81640625" style="117" bestFit="1" customWidth="1"/>
    <col min="2819" max="2819" width="17.7265625" style="117" bestFit="1" customWidth="1"/>
    <col min="2820" max="2820" width="22.453125" style="117" bestFit="1" customWidth="1"/>
    <col min="2821" max="2821" width="16.1796875" style="117" bestFit="1" customWidth="1"/>
    <col min="2822" max="2822" width="22.453125" style="117" bestFit="1" customWidth="1"/>
    <col min="2823" max="2823" width="16.1796875" style="117" customWidth="1"/>
    <col min="2824" max="2824" width="18.453125" style="117" customWidth="1"/>
    <col min="2825" max="2825" width="21.26953125" style="117" bestFit="1" customWidth="1"/>
    <col min="2826" max="2826" width="19.54296875" style="117" customWidth="1"/>
    <col min="2827" max="3069" width="9.81640625" style="117"/>
    <col min="3070" max="3070" width="9.26953125" style="117" customWidth="1"/>
    <col min="3071" max="3071" width="74.453125" style="117" customWidth="1"/>
    <col min="3072" max="3072" width="13.7265625" style="117" customWidth="1"/>
    <col min="3073" max="3073" width="14.26953125" style="117" bestFit="1" customWidth="1"/>
    <col min="3074" max="3074" width="10.81640625" style="117" bestFit="1" customWidth="1"/>
    <col min="3075" max="3075" width="17.7265625" style="117" bestFit="1" customWidth="1"/>
    <col min="3076" max="3076" width="22.453125" style="117" bestFit="1" customWidth="1"/>
    <col min="3077" max="3077" width="16.1796875" style="117" bestFit="1" customWidth="1"/>
    <col min="3078" max="3078" width="22.453125" style="117" bestFit="1" customWidth="1"/>
    <col min="3079" max="3079" width="16.1796875" style="117" customWidth="1"/>
    <col min="3080" max="3080" width="18.453125" style="117" customWidth="1"/>
    <col min="3081" max="3081" width="21.26953125" style="117" bestFit="1" customWidth="1"/>
    <col min="3082" max="3082" width="19.54296875" style="117" customWidth="1"/>
    <col min="3083" max="3325" width="9.81640625" style="117"/>
    <col min="3326" max="3326" width="9.26953125" style="117" customWidth="1"/>
    <col min="3327" max="3327" width="74.453125" style="117" customWidth="1"/>
    <col min="3328" max="3328" width="13.7265625" style="117" customWidth="1"/>
    <col min="3329" max="3329" width="14.26953125" style="117" bestFit="1" customWidth="1"/>
    <col min="3330" max="3330" width="10.81640625" style="117" bestFit="1" customWidth="1"/>
    <col min="3331" max="3331" width="17.7265625" style="117" bestFit="1" customWidth="1"/>
    <col min="3332" max="3332" width="22.453125" style="117" bestFit="1" customWidth="1"/>
    <col min="3333" max="3333" width="16.1796875" style="117" bestFit="1" customWidth="1"/>
    <col min="3334" max="3334" width="22.453125" style="117" bestFit="1" customWidth="1"/>
    <col min="3335" max="3335" width="16.1796875" style="117" customWidth="1"/>
    <col min="3336" max="3336" width="18.453125" style="117" customWidth="1"/>
    <col min="3337" max="3337" width="21.26953125" style="117" bestFit="1" customWidth="1"/>
    <col min="3338" max="3338" width="19.54296875" style="117" customWidth="1"/>
    <col min="3339" max="3581" width="9.81640625" style="117"/>
    <col min="3582" max="3582" width="9.26953125" style="117" customWidth="1"/>
    <col min="3583" max="3583" width="74.453125" style="117" customWidth="1"/>
    <col min="3584" max="3584" width="13.7265625" style="117" customWidth="1"/>
    <col min="3585" max="3585" width="14.26953125" style="117" bestFit="1" customWidth="1"/>
    <col min="3586" max="3586" width="10.81640625" style="117" bestFit="1" customWidth="1"/>
    <col min="3587" max="3587" width="17.7265625" style="117" bestFit="1" customWidth="1"/>
    <col min="3588" max="3588" width="22.453125" style="117" bestFit="1" customWidth="1"/>
    <col min="3589" max="3589" width="16.1796875" style="117" bestFit="1" customWidth="1"/>
    <col min="3590" max="3590" width="22.453125" style="117" bestFit="1" customWidth="1"/>
    <col min="3591" max="3591" width="16.1796875" style="117" customWidth="1"/>
    <col min="3592" max="3592" width="18.453125" style="117" customWidth="1"/>
    <col min="3593" max="3593" width="21.26953125" style="117" bestFit="1" customWidth="1"/>
    <col min="3594" max="3594" width="19.54296875" style="117" customWidth="1"/>
    <col min="3595" max="3837" width="9.81640625" style="117"/>
    <col min="3838" max="3838" width="9.26953125" style="117" customWidth="1"/>
    <col min="3839" max="3839" width="74.453125" style="117" customWidth="1"/>
    <col min="3840" max="3840" width="13.7265625" style="117" customWidth="1"/>
    <col min="3841" max="3841" width="14.26953125" style="117" bestFit="1" customWidth="1"/>
    <col min="3842" max="3842" width="10.81640625" style="117" bestFit="1" customWidth="1"/>
    <col min="3843" max="3843" width="17.7265625" style="117" bestFit="1" customWidth="1"/>
    <col min="3844" max="3844" width="22.453125" style="117" bestFit="1" customWidth="1"/>
    <col min="3845" max="3845" width="16.1796875" style="117" bestFit="1" customWidth="1"/>
    <col min="3846" max="3846" width="22.453125" style="117" bestFit="1" customWidth="1"/>
    <col min="3847" max="3847" width="16.1796875" style="117" customWidth="1"/>
    <col min="3848" max="3848" width="18.453125" style="117" customWidth="1"/>
    <col min="3849" max="3849" width="21.26953125" style="117" bestFit="1" customWidth="1"/>
    <col min="3850" max="3850" width="19.54296875" style="117" customWidth="1"/>
    <col min="3851" max="4093" width="9.81640625" style="117"/>
    <col min="4094" max="4094" width="9.26953125" style="117" customWidth="1"/>
    <col min="4095" max="4095" width="74.453125" style="117" customWidth="1"/>
    <col min="4096" max="4096" width="13.7265625" style="117" customWidth="1"/>
    <col min="4097" max="4097" width="14.26953125" style="117" bestFit="1" customWidth="1"/>
    <col min="4098" max="4098" width="10.81640625" style="117" bestFit="1" customWidth="1"/>
    <col min="4099" max="4099" width="17.7265625" style="117" bestFit="1" customWidth="1"/>
    <col min="4100" max="4100" width="22.453125" style="117" bestFit="1" customWidth="1"/>
    <col min="4101" max="4101" width="16.1796875" style="117" bestFit="1" customWidth="1"/>
    <col min="4102" max="4102" width="22.453125" style="117" bestFit="1" customWidth="1"/>
    <col min="4103" max="4103" width="16.1796875" style="117" customWidth="1"/>
    <col min="4104" max="4104" width="18.453125" style="117" customWidth="1"/>
    <col min="4105" max="4105" width="21.26953125" style="117" bestFit="1" customWidth="1"/>
    <col min="4106" max="4106" width="19.54296875" style="117" customWidth="1"/>
    <col min="4107" max="4349" width="9.81640625" style="117"/>
    <col min="4350" max="4350" width="9.26953125" style="117" customWidth="1"/>
    <col min="4351" max="4351" width="74.453125" style="117" customWidth="1"/>
    <col min="4352" max="4352" width="13.7265625" style="117" customWidth="1"/>
    <col min="4353" max="4353" width="14.26953125" style="117" bestFit="1" customWidth="1"/>
    <col min="4354" max="4354" width="10.81640625" style="117" bestFit="1" customWidth="1"/>
    <col min="4355" max="4355" width="17.7265625" style="117" bestFit="1" customWidth="1"/>
    <col min="4356" max="4356" width="22.453125" style="117" bestFit="1" customWidth="1"/>
    <col min="4357" max="4357" width="16.1796875" style="117" bestFit="1" customWidth="1"/>
    <col min="4358" max="4358" width="22.453125" style="117" bestFit="1" customWidth="1"/>
    <col min="4359" max="4359" width="16.1796875" style="117" customWidth="1"/>
    <col min="4360" max="4360" width="18.453125" style="117" customWidth="1"/>
    <col min="4361" max="4361" width="21.26953125" style="117" bestFit="1" customWidth="1"/>
    <col min="4362" max="4362" width="19.54296875" style="117" customWidth="1"/>
    <col min="4363" max="4605" width="9.81640625" style="117"/>
    <col min="4606" max="4606" width="9.26953125" style="117" customWidth="1"/>
    <col min="4607" max="4607" width="74.453125" style="117" customWidth="1"/>
    <col min="4608" max="4608" width="13.7265625" style="117" customWidth="1"/>
    <col min="4609" max="4609" width="14.26953125" style="117" bestFit="1" customWidth="1"/>
    <col min="4610" max="4610" width="10.81640625" style="117" bestFit="1" customWidth="1"/>
    <col min="4611" max="4611" width="17.7265625" style="117" bestFit="1" customWidth="1"/>
    <col min="4612" max="4612" width="22.453125" style="117" bestFit="1" customWidth="1"/>
    <col min="4613" max="4613" width="16.1796875" style="117" bestFit="1" customWidth="1"/>
    <col min="4614" max="4614" width="22.453125" style="117" bestFit="1" customWidth="1"/>
    <col min="4615" max="4615" width="16.1796875" style="117" customWidth="1"/>
    <col min="4616" max="4616" width="18.453125" style="117" customWidth="1"/>
    <col min="4617" max="4617" width="21.26953125" style="117" bestFit="1" customWidth="1"/>
    <col min="4618" max="4618" width="19.54296875" style="117" customWidth="1"/>
    <col min="4619" max="4861" width="9.81640625" style="117"/>
    <col min="4862" max="4862" width="9.26953125" style="117" customWidth="1"/>
    <col min="4863" max="4863" width="74.453125" style="117" customWidth="1"/>
    <col min="4864" max="4864" width="13.7265625" style="117" customWidth="1"/>
    <col min="4865" max="4865" width="14.26953125" style="117" bestFit="1" customWidth="1"/>
    <col min="4866" max="4866" width="10.81640625" style="117" bestFit="1" customWidth="1"/>
    <col min="4867" max="4867" width="17.7265625" style="117" bestFit="1" customWidth="1"/>
    <col min="4868" max="4868" width="22.453125" style="117" bestFit="1" customWidth="1"/>
    <col min="4869" max="4869" width="16.1796875" style="117" bestFit="1" customWidth="1"/>
    <col min="4870" max="4870" width="22.453125" style="117" bestFit="1" customWidth="1"/>
    <col min="4871" max="4871" width="16.1796875" style="117" customWidth="1"/>
    <col min="4872" max="4872" width="18.453125" style="117" customWidth="1"/>
    <col min="4873" max="4873" width="21.26953125" style="117" bestFit="1" customWidth="1"/>
    <col min="4874" max="4874" width="19.54296875" style="117" customWidth="1"/>
    <col min="4875" max="5117" width="9.81640625" style="117"/>
    <col min="5118" max="5118" width="9.26953125" style="117" customWidth="1"/>
    <col min="5119" max="5119" width="74.453125" style="117" customWidth="1"/>
    <col min="5120" max="5120" width="13.7265625" style="117" customWidth="1"/>
    <col min="5121" max="5121" width="14.26953125" style="117" bestFit="1" customWidth="1"/>
    <col min="5122" max="5122" width="10.81640625" style="117" bestFit="1" customWidth="1"/>
    <col min="5123" max="5123" width="17.7265625" style="117" bestFit="1" customWidth="1"/>
    <col min="5124" max="5124" width="22.453125" style="117" bestFit="1" customWidth="1"/>
    <col min="5125" max="5125" width="16.1796875" style="117" bestFit="1" customWidth="1"/>
    <col min="5126" max="5126" width="22.453125" style="117" bestFit="1" customWidth="1"/>
    <col min="5127" max="5127" width="16.1796875" style="117" customWidth="1"/>
    <col min="5128" max="5128" width="18.453125" style="117" customWidth="1"/>
    <col min="5129" max="5129" width="21.26953125" style="117" bestFit="1" customWidth="1"/>
    <col min="5130" max="5130" width="19.54296875" style="117" customWidth="1"/>
    <col min="5131" max="5373" width="9.81640625" style="117"/>
    <col min="5374" max="5374" width="9.26953125" style="117" customWidth="1"/>
    <col min="5375" max="5375" width="74.453125" style="117" customWidth="1"/>
    <col min="5376" max="5376" width="13.7265625" style="117" customWidth="1"/>
    <col min="5377" max="5377" width="14.26953125" style="117" bestFit="1" customWidth="1"/>
    <col min="5378" max="5378" width="10.81640625" style="117" bestFit="1" customWidth="1"/>
    <col min="5379" max="5379" width="17.7265625" style="117" bestFit="1" customWidth="1"/>
    <col min="5380" max="5380" width="22.453125" style="117" bestFit="1" customWidth="1"/>
    <col min="5381" max="5381" width="16.1796875" style="117" bestFit="1" customWidth="1"/>
    <col min="5382" max="5382" width="22.453125" style="117" bestFit="1" customWidth="1"/>
    <col min="5383" max="5383" width="16.1796875" style="117" customWidth="1"/>
    <col min="5384" max="5384" width="18.453125" style="117" customWidth="1"/>
    <col min="5385" max="5385" width="21.26953125" style="117" bestFit="1" customWidth="1"/>
    <col min="5386" max="5386" width="19.54296875" style="117" customWidth="1"/>
    <col min="5387" max="5629" width="9.81640625" style="117"/>
    <col min="5630" max="5630" width="9.26953125" style="117" customWidth="1"/>
    <col min="5631" max="5631" width="74.453125" style="117" customWidth="1"/>
    <col min="5632" max="5632" width="13.7265625" style="117" customWidth="1"/>
    <col min="5633" max="5633" width="14.26953125" style="117" bestFit="1" customWidth="1"/>
    <col min="5634" max="5634" width="10.81640625" style="117" bestFit="1" customWidth="1"/>
    <col min="5635" max="5635" width="17.7265625" style="117" bestFit="1" customWidth="1"/>
    <col min="5636" max="5636" width="22.453125" style="117" bestFit="1" customWidth="1"/>
    <col min="5637" max="5637" width="16.1796875" style="117" bestFit="1" customWidth="1"/>
    <col min="5638" max="5638" width="22.453125" style="117" bestFit="1" customWidth="1"/>
    <col min="5639" max="5639" width="16.1796875" style="117" customWidth="1"/>
    <col min="5640" max="5640" width="18.453125" style="117" customWidth="1"/>
    <col min="5641" max="5641" width="21.26953125" style="117" bestFit="1" customWidth="1"/>
    <col min="5642" max="5642" width="19.54296875" style="117" customWidth="1"/>
    <col min="5643" max="5885" width="9.81640625" style="117"/>
    <col min="5886" max="5886" width="9.26953125" style="117" customWidth="1"/>
    <col min="5887" max="5887" width="74.453125" style="117" customWidth="1"/>
    <col min="5888" max="5888" width="13.7265625" style="117" customWidth="1"/>
    <col min="5889" max="5889" width="14.26953125" style="117" bestFit="1" customWidth="1"/>
    <col min="5890" max="5890" width="10.81640625" style="117" bestFit="1" customWidth="1"/>
    <col min="5891" max="5891" width="17.7265625" style="117" bestFit="1" customWidth="1"/>
    <col min="5892" max="5892" width="22.453125" style="117" bestFit="1" customWidth="1"/>
    <col min="5893" max="5893" width="16.1796875" style="117" bestFit="1" customWidth="1"/>
    <col min="5894" max="5894" width="22.453125" style="117" bestFit="1" customWidth="1"/>
    <col min="5895" max="5895" width="16.1796875" style="117" customWidth="1"/>
    <col min="5896" max="5896" width="18.453125" style="117" customWidth="1"/>
    <col min="5897" max="5897" width="21.26953125" style="117" bestFit="1" customWidth="1"/>
    <col min="5898" max="5898" width="19.54296875" style="117" customWidth="1"/>
    <col min="5899" max="6141" width="9.81640625" style="117"/>
    <col min="6142" max="6142" width="9.26953125" style="117" customWidth="1"/>
    <col min="6143" max="6143" width="74.453125" style="117" customWidth="1"/>
    <col min="6144" max="6144" width="13.7265625" style="117" customWidth="1"/>
    <col min="6145" max="6145" width="14.26953125" style="117" bestFit="1" customWidth="1"/>
    <col min="6146" max="6146" width="10.81640625" style="117" bestFit="1" customWidth="1"/>
    <col min="6147" max="6147" width="17.7265625" style="117" bestFit="1" customWidth="1"/>
    <col min="6148" max="6148" width="22.453125" style="117" bestFit="1" customWidth="1"/>
    <col min="6149" max="6149" width="16.1796875" style="117" bestFit="1" customWidth="1"/>
    <col min="6150" max="6150" width="22.453125" style="117" bestFit="1" customWidth="1"/>
    <col min="6151" max="6151" width="16.1796875" style="117" customWidth="1"/>
    <col min="6152" max="6152" width="18.453125" style="117" customWidth="1"/>
    <col min="6153" max="6153" width="21.26953125" style="117" bestFit="1" customWidth="1"/>
    <col min="6154" max="6154" width="19.54296875" style="117" customWidth="1"/>
    <col min="6155" max="6397" width="9.81640625" style="117"/>
    <col min="6398" max="6398" width="9.26953125" style="117" customWidth="1"/>
    <col min="6399" max="6399" width="74.453125" style="117" customWidth="1"/>
    <col min="6400" max="6400" width="13.7265625" style="117" customWidth="1"/>
    <col min="6401" max="6401" width="14.26953125" style="117" bestFit="1" customWidth="1"/>
    <col min="6402" max="6402" width="10.81640625" style="117" bestFit="1" customWidth="1"/>
    <col min="6403" max="6403" width="17.7265625" style="117" bestFit="1" customWidth="1"/>
    <col min="6404" max="6404" width="22.453125" style="117" bestFit="1" customWidth="1"/>
    <col min="6405" max="6405" width="16.1796875" style="117" bestFit="1" customWidth="1"/>
    <col min="6406" max="6406" width="22.453125" style="117" bestFit="1" customWidth="1"/>
    <col min="6407" max="6407" width="16.1796875" style="117" customWidth="1"/>
    <col min="6408" max="6408" width="18.453125" style="117" customWidth="1"/>
    <col min="6409" max="6409" width="21.26953125" style="117" bestFit="1" customWidth="1"/>
    <col min="6410" max="6410" width="19.54296875" style="117" customWidth="1"/>
    <col min="6411" max="6653" width="9.81640625" style="117"/>
    <col min="6654" max="6654" width="9.26953125" style="117" customWidth="1"/>
    <col min="6655" max="6655" width="74.453125" style="117" customWidth="1"/>
    <col min="6656" max="6656" width="13.7265625" style="117" customWidth="1"/>
    <col min="6657" max="6657" width="14.26953125" style="117" bestFit="1" customWidth="1"/>
    <col min="6658" max="6658" width="10.81640625" style="117" bestFit="1" customWidth="1"/>
    <col min="6659" max="6659" width="17.7265625" style="117" bestFit="1" customWidth="1"/>
    <col min="6660" max="6660" width="22.453125" style="117" bestFit="1" customWidth="1"/>
    <col min="6661" max="6661" width="16.1796875" style="117" bestFit="1" customWidth="1"/>
    <col min="6662" max="6662" width="22.453125" style="117" bestFit="1" customWidth="1"/>
    <col min="6663" max="6663" width="16.1796875" style="117" customWidth="1"/>
    <col min="6664" max="6664" width="18.453125" style="117" customWidth="1"/>
    <col min="6665" max="6665" width="21.26953125" style="117" bestFit="1" customWidth="1"/>
    <col min="6666" max="6666" width="19.54296875" style="117" customWidth="1"/>
    <col min="6667" max="6909" width="9.81640625" style="117"/>
    <col min="6910" max="6910" width="9.26953125" style="117" customWidth="1"/>
    <col min="6911" max="6911" width="74.453125" style="117" customWidth="1"/>
    <col min="6912" max="6912" width="13.7265625" style="117" customWidth="1"/>
    <col min="6913" max="6913" width="14.26953125" style="117" bestFit="1" customWidth="1"/>
    <col min="6914" max="6914" width="10.81640625" style="117" bestFit="1" customWidth="1"/>
    <col min="6915" max="6915" width="17.7265625" style="117" bestFit="1" customWidth="1"/>
    <col min="6916" max="6916" width="22.453125" style="117" bestFit="1" customWidth="1"/>
    <col min="6917" max="6917" width="16.1796875" style="117" bestFit="1" customWidth="1"/>
    <col min="6918" max="6918" width="22.453125" style="117" bestFit="1" customWidth="1"/>
    <col min="6919" max="6919" width="16.1796875" style="117" customWidth="1"/>
    <col min="6920" max="6920" width="18.453125" style="117" customWidth="1"/>
    <col min="6921" max="6921" width="21.26953125" style="117" bestFit="1" customWidth="1"/>
    <col min="6922" max="6922" width="19.54296875" style="117" customWidth="1"/>
    <col min="6923" max="7165" width="9.81640625" style="117"/>
    <col min="7166" max="7166" width="9.26953125" style="117" customWidth="1"/>
    <col min="7167" max="7167" width="74.453125" style="117" customWidth="1"/>
    <col min="7168" max="7168" width="13.7265625" style="117" customWidth="1"/>
    <col min="7169" max="7169" width="14.26953125" style="117" bestFit="1" customWidth="1"/>
    <col min="7170" max="7170" width="10.81640625" style="117" bestFit="1" customWidth="1"/>
    <col min="7171" max="7171" width="17.7265625" style="117" bestFit="1" customWidth="1"/>
    <col min="7172" max="7172" width="22.453125" style="117" bestFit="1" customWidth="1"/>
    <col min="7173" max="7173" width="16.1796875" style="117" bestFit="1" customWidth="1"/>
    <col min="7174" max="7174" width="22.453125" style="117" bestFit="1" customWidth="1"/>
    <col min="7175" max="7175" width="16.1796875" style="117" customWidth="1"/>
    <col min="7176" max="7176" width="18.453125" style="117" customWidth="1"/>
    <col min="7177" max="7177" width="21.26953125" style="117" bestFit="1" customWidth="1"/>
    <col min="7178" max="7178" width="19.54296875" style="117" customWidth="1"/>
    <col min="7179" max="7421" width="9.81640625" style="117"/>
    <col min="7422" max="7422" width="9.26953125" style="117" customWidth="1"/>
    <col min="7423" max="7423" width="74.453125" style="117" customWidth="1"/>
    <col min="7424" max="7424" width="13.7265625" style="117" customWidth="1"/>
    <col min="7425" max="7425" width="14.26953125" style="117" bestFit="1" customWidth="1"/>
    <col min="7426" max="7426" width="10.81640625" style="117" bestFit="1" customWidth="1"/>
    <col min="7427" max="7427" width="17.7265625" style="117" bestFit="1" customWidth="1"/>
    <col min="7428" max="7428" width="22.453125" style="117" bestFit="1" customWidth="1"/>
    <col min="7429" max="7429" width="16.1796875" style="117" bestFit="1" customWidth="1"/>
    <col min="7430" max="7430" width="22.453125" style="117" bestFit="1" customWidth="1"/>
    <col min="7431" max="7431" width="16.1796875" style="117" customWidth="1"/>
    <col min="7432" max="7432" width="18.453125" style="117" customWidth="1"/>
    <col min="7433" max="7433" width="21.26953125" style="117" bestFit="1" customWidth="1"/>
    <col min="7434" max="7434" width="19.54296875" style="117" customWidth="1"/>
    <col min="7435" max="7677" width="9.81640625" style="117"/>
    <col min="7678" max="7678" width="9.26953125" style="117" customWidth="1"/>
    <col min="7679" max="7679" width="74.453125" style="117" customWidth="1"/>
    <col min="7680" max="7680" width="13.7265625" style="117" customWidth="1"/>
    <col min="7681" max="7681" width="14.26953125" style="117" bestFit="1" customWidth="1"/>
    <col min="7682" max="7682" width="10.81640625" style="117" bestFit="1" customWidth="1"/>
    <col min="7683" max="7683" width="17.7265625" style="117" bestFit="1" customWidth="1"/>
    <col min="7684" max="7684" width="22.453125" style="117" bestFit="1" customWidth="1"/>
    <col min="7685" max="7685" width="16.1796875" style="117" bestFit="1" customWidth="1"/>
    <col min="7686" max="7686" width="22.453125" style="117" bestFit="1" customWidth="1"/>
    <col min="7687" max="7687" width="16.1796875" style="117" customWidth="1"/>
    <col min="7688" max="7688" width="18.453125" style="117" customWidth="1"/>
    <col min="7689" max="7689" width="21.26953125" style="117" bestFit="1" customWidth="1"/>
    <col min="7690" max="7690" width="19.54296875" style="117" customWidth="1"/>
    <col min="7691" max="7933" width="9.81640625" style="117"/>
    <col min="7934" max="7934" width="9.26953125" style="117" customWidth="1"/>
    <col min="7935" max="7935" width="74.453125" style="117" customWidth="1"/>
    <col min="7936" max="7936" width="13.7265625" style="117" customWidth="1"/>
    <col min="7937" max="7937" width="14.26953125" style="117" bestFit="1" customWidth="1"/>
    <col min="7938" max="7938" width="10.81640625" style="117" bestFit="1" customWidth="1"/>
    <col min="7939" max="7939" width="17.7265625" style="117" bestFit="1" customWidth="1"/>
    <col min="7940" max="7940" width="22.453125" style="117" bestFit="1" customWidth="1"/>
    <col min="7941" max="7941" width="16.1796875" style="117" bestFit="1" customWidth="1"/>
    <col min="7942" max="7942" width="22.453125" style="117" bestFit="1" customWidth="1"/>
    <col min="7943" max="7943" width="16.1796875" style="117" customWidth="1"/>
    <col min="7944" max="7944" width="18.453125" style="117" customWidth="1"/>
    <col min="7945" max="7945" width="21.26953125" style="117" bestFit="1" customWidth="1"/>
    <col min="7946" max="7946" width="19.54296875" style="117" customWidth="1"/>
    <col min="7947" max="8189" width="9.81640625" style="117"/>
    <col min="8190" max="8190" width="9.26953125" style="117" customWidth="1"/>
    <col min="8191" max="8191" width="74.453125" style="117" customWidth="1"/>
    <col min="8192" max="8192" width="13.7265625" style="117" customWidth="1"/>
    <col min="8193" max="8193" width="14.26953125" style="117" bestFit="1" customWidth="1"/>
    <col min="8194" max="8194" width="10.81640625" style="117" bestFit="1" customWidth="1"/>
    <col min="8195" max="8195" width="17.7265625" style="117" bestFit="1" customWidth="1"/>
    <col min="8196" max="8196" width="22.453125" style="117" bestFit="1" customWidth="1"/>
    <col min="8197" max="8197" width="16.1796875" style="117" bestFit="1" customWidth="1"/>
    <col min="8198" max="8198" width="22.453125" style="117" bestFit="1" customWidth="1"/>
    <col min="8199" max="8199" width="16.1796875" style="117" customWidth="1"/>
    <col min="8200" max="8200" width="18.453125" style="117" customWidth="1"/>
    <col min="8201" max="8201" width="21.26953125" style="117" bestFit="1" customWidth="1"/>
    <col min="8202" max="8202" width="19.54296875" style="117" customWidth="1"/>
    <col min="8203" max="8445" width="9.81640625" style="117"/>
    <col min="8446" max="8446" width="9.26953125" style="117" customWidth="1"/>
    <col min="8447" max="8447" width="74.453125" style="117" customWidth="1"/>
    <col min="8448" max="8448" width="13.7265625" style="117" customWidth="1"/>
    <col min="8449" max="8449" width="14.26953125" style="117" bestFit="1" customWidth="1"/>
    <col min="8450" max="8450" width="10.81640625" style="117" bestFit="1" customWidth="1"/>
    <col min="8451" max="8451" width="17.7265625" style="117" bestFit="1" customWidth="1"/>
    <col min="8452" max="8452" width="22.453125" style="117" bestFit="1" customWidth="1"/>
    <col min="8453" max="8453" width="16.1796875" style="117" bestFit="1" customWidth="1"/>
    <col min="8454" max="8454" width="22.453125" style="117" bestFit="1" customWidth="1"/>
    <col min="8455" max="8455" width="16.1796875" style="117" customWidth="1"/>
    <col min="8456" max="8456" width="18.453125" style="117" customWidth="1"/>
    <col min="8457" max="8457" width="21.26953125" style="117" bestFit="1" customWidth="1"/>
    <col min="8458" max="8458" width="19.54296875" style="117" customWidth="1"/>
    <col min="8459" max="8701" width="9.81640625" style="117"/>
    <col min="8702" max="8702" width="9.26953125" style="117" customWidth="1"/>
    <col min="8703" max="8703" width="74.453125" style="117" customWidth="1"/>
    <col min="8704" max="8704" width="13.7265625" style="117" customWidth="1"/>
    <col min="8705" max="8705" width="14.26953125" style="117" bestFit="1" customWidth="1"/>
    <col min="8706" max="8706" width="10.81640625" style="117" bestFit="1" customWidth="1"/>
    <col min="8707" max="8707" width="17.7265625" style="117" bestFit="1" customWidth="1"/>
    <col min="8708" max="8708" width="22.453125" style="117" bestFit="1" customWidth="1"/>
    <col min="8709" max="8709" width="16.1796875" style="117" bestFit="1" customWidth="1"/>
    <col min="8710" max="8710" width="22.453125" style="117" bestFit="1" customWidth="1"/>
    <col min="8711" max="8711" width="16.1796875" style="117" customWidth="1"/>
    <col min="8712" max="8712" width="18.453125" style="117" customWidth="1"/>
    <col min="8713" max="8713" width="21.26953125" style="117" bestFit="1" customWidth="1"/>
    <col min="8714" max="8714" width="19.54296875" style="117" customWidth="1"/>
    <col min="8715" max="8957" width="9.81640625" style="117"/>
    <col min="8958" max="8958" width="9.26953125" style="117" customWidth="1"/>
    <col min="8959" max="8959" width="74.453125" style="117" customWidth="1"/>
    <col min="8960" max="8960" width="13.7265625" style="117" customWidth="1"/>
    <col min="8961" max="8961" width="14.26953125" style="117" bestFit="1" customWidth="1"/>
    <col min="8962" max="8962" width="10.81640625" style="117" bestFit="1" customWidth="1"/>
    <col min="8963" max="8963" width="17.7265625" style="117" bestFit="1" customWidth="1"/>
    <col min="8964" max="8964" width="22.453125" style="117" bestFit="1" customWidth="1"/>
    <col min="8965" max="8965" width="16.1796875" style="117" bestFit="1" customWidth="1"/>
    <col min="8966" max="8966" width="22.453125" style="117" bestFit="1" customWidth="1"/>
    <col min="8967" max="8967" width="16.1796875" style="117" customWidth="1"/>
    <col min="8968" max="8968" width="18.453125" style="117" customWidth="1"/>
    <col min="8969" max="8969" width="21.26953125" style="117" bestFit="1" customWidth="1"/>
    <col min="8970" max="8970" width="19.54296875" style="117" customWidth="1"/>
    <col min="8971" max="9213" width="9.81640625" style="117"/>
    <col min="9214" max="9214" width="9.26953125" style="117" customWidth="1"/>
    <col min="9215" max="9215" width="74.453125" style="117" customWidth="1"/>
    <col min="9216" max="9216" width="13.7265625" style="117" customWidth="1"/>
    <col min="9217" max="9217" width="14.26953125" style="117" bestFit="1" customWidth="1"/>
    <col min="9218" max="9218" width="10.81640625" style="117" bestFit="1" customWidth="1"/>
    <col min="9219" max="9219" width="17.7265625" style="117" bestFit="1" customWidth="1"/>
    <col min="9220" max="9220" width="22.453125" style="117" bestFit="1" customWidth="1"/>
    <col min="9221" max="9221" width="16.1796875" style="117" bestFit="1" customWidth="1"/>
    <col min="9222" max="9222" width="22.453125" style="117" bestFit="1" customWidth="1"/>
    <col min="9223" max="9223" width="16.1796875" style="117" customWidth="1"/>
    <col min="9224" max="9224" width="18.453125" style="117" customWidth="1"/>
    <col min="9225" max="9225" width="21.26953125" style="117" bestFit="1" customWidth="1"/>
    <col min="9226" max="9226" width="19.54296875" style="117" customWidth="1"/>
    <col min="9227" max="9469" width="9.81640625" style="117"/>
    <col min="9470" max="9470" width="9.26953125" style="117" customWidth="1"/>
    <col min="9471" max="9471" width="74.453125" style="117" customWidth="1"/>
    <col min="9472" max="9472" width="13.7265625" style="117" customWidth="1"/>
    <col min="9473" max="9473" width="14.26953125" style="117" bestFit="1" customWidth="1"/>
    <col min="9474" max="9474" width="10.81640625" style="117" bestFit="1" customWidth="1"/>
    <col min="9475" max="9475" width="17.7265625" style="117" bestFit="1" customWidth="1"/>
    <col min="9476" max="9476" width="22.453125" style="117" bestFit="1" customWidth="1"/>
    <col min="9477" max="9477" width="16.1796875" style="117" bestFit="1" customWidth="1"/>
    <col min="9478" max="9478" width="22.453125" style="117" bestFit="1" customWidth="1"/>
    <col min="9479" max="9479" width="16.1796875" style="117" customWidth="1"/>
    <col min="9480" max="9480" width="18.453125" style="117" customWidth="1"/>
    <col min="9481" max="9481" width="21.26953125" style="117" bestFit="1" customWidth="1"/>
    <col min="9482" max="9482" width="19.54296875" style="117" customWidth="1"/>
    <col min="9483" max="9725" width="9.81640625" style="117"/>
    <col min="9726" max="9726" width="9.26953125" style="117" customWidth="1"/>
    <col min="9727" max="9727" width="74.453125" style="117" customWidth="1"/>
    <col min="9728" max="9728" width="13.7265625" style="117" customWidth="1"/>
    <col min="9729" max="9729" width="14.26953125" style="117" bestFit="1" customWidth="1"/>
    <col min="9730" max="9730" width="10.81640625" style="117" bestFit="1" customWidth="1"/>
    <col min="9731" max="9731" width="17.7265625" style="117" bestFit="1" customWidth="1"/>
    <col min="9732" max="9732" width="22.453125" style="117" bestFit="1" customWidth="1"/>
    <col min="9733" max="9733" width="16.1796875" style="117" bestFit="1" customWidth="1"/>
    <col min="9734" max="9734" width="22.453125" style="117" bestFit="1" customWidth="1"/>
    <col min="9735" max="9735" width="16.1796875" style="117" customWidth="1"/>
    <col min="9736" max="9736" width="18.453125" style="117" customWidth="1"/>
    <col min="9737" max="9737" width="21.26953125" style="117" bestFit="1" customWidth="1"/>
    <col min="9738" max="9738" width="19.54296875" style="117" customWidth="1"/>
    <col min="9739" max="9981" width="9.81640625" style="117"/>
    <col min="9982" max="9982" width="9.26953125" style="117" customWidth="1"/>
    <col min="9983" max="9983" width="74.453125" style="117" customWidth="1"/>
    <col min="9984" max="9984" width="13.7265625" style="117" customWidth="1"/>
    <col min="9985" max="9985" width="14.26953125" style="117" bestFit="1" customWidth="1"/>
    <col min="9986" max="9986" width="10.81640625" style="117" bestFit="1" customWidth="1"/>
    <col min="9987" max="9987" width="17.7265625" style="117" bestFit="1" customWidth="1"/>
    <col min="9988" max="9988" width="22.453125" style="117" bestFit="1" customWidth="1"/>
    <col min="9989" max="9989" width="16.1796875" style="117" bestFit="1" customWidth="1"/>
    <col min="9990" max="9990" width="22.453125" style="117" bestFit="1" customWidth="1"/>
    <col min="9991" max="9991" width="16.1796875" style="117" customWidth="1"/>
    <col min="9992" max="9992" width="18.453125" style="117" customWidth="1"/>
    <col min="9993" max="9993" width="21.26953125" style="117" bestFit="1" customWidth="1"/>
    <col min="9994" max="9994" width="19.54296875" style="117" customWidth="1"/>
    <col min="9995" max="10237" width="9.81640625" style="117"/>
    <col min="10238" max="10238" width="9.26953125" style="117" customWidth="1"/>
    <col min="10239" max="10239" width="74.453125" style="117" customWidth="1"/>
    <col min="10240" max="10240" width="13.7265625" style="117" customWidth="1"/>
    <col min="10241" max="10241" width="14.26953125" style="117" bestFit="1" customWidth="1"/>
    <col min="10242" max="10242" width="10.81640625" style="117" bestFit="1" customWidth="1"/>
    <col min="10243" max="10243" width="17.7265625" style="117" bestFit="1" customWidth="1"/>
    <col min="10244" max="10244" width="22.453125" style="117" bestFit="1" customWidth="1"/>
    <col min="10245" max="10245" width="16.1796875" style="117" bestFit="1" customWidth="1"/>
    <col min="10246" max="10246" width="22.453125" style="117" bestFit="1" customWidth="1"/>
    <col min="10247" max="10247" width="16.1796875" style="117" customWidth="1"/>
    <col min="10248" max="10248" width="18.453125" style="117" customWidth="1"/>
    <col min="10249" max="10249" width="21.26953125" style="117" bestFit="1" customWidth="1"/>
    <col min="10250" max="10250" width="19.54296875" style="117" customWidth="1"/>
    <col min="10251" max="10493" width="9.81640625" style="117"/>
    <col min="10494" max="10494" width="9.26953125" style="117" customWidth="1"/>
    <col min="10495" max="10495" width="74.453125" style="117" customWidth="1"/>
    <col min="10496" max="10496" width="13.7265625" style="117" customWidth="1"/>
    <col min="10497" max="10497" width="14.26953125" style="117" bestFit="1" customWidth="1"/>
    <col min="10498" max="10498" width="10.81640625" style="117" bestFit="1" customWidth="1"/>
    <col min="10499" max="10499" width="17.7265625" style="117" bestFit="1" customWidth="1"/>
    <col min="10500" max="10500" width="22.453125" style="117" bestFit="1" customWidth="1"/>
    <col min="10501" max="10501" width="16.1796875" style="117" bestFit="1" customWidth="1"/>
    <col min="10502" max="10502" width="22.453125" style="117" bestFit="1" customWidth="1"/>
    <col min="10503" max="10503" width="16.1796875" style="117" customWidth="1"/>
    <col min="10504" max="10504" width="18.453125" style="117" customWidth="1"/>
    <col min="10505" max="10505" width="21.26953125" style="117" bestFit="1" customWidth="1"/>
    <col min="10506" max="10506" width="19.54296875" style="117" customWidth="1"/>
    <col min="10507" max="10749" width="9.81640625" style="117"/>
    <col min="10750" max="10750" width="9.26953125" style="117" customWidth="1"/>
    <col min="10751" max="10751" width="74.453125" style="117" customWidth="1"/>
    <col min="10752" max="10752" width="13.7265625" style="117" customWidth="1"/>
    <col min="10753" max="10753" width="14.26953125" style="117" bestFit="1" customWidth="1"/>
    <col min="10754" max="10754" width="10.81640625" style="117" bestFit="1" customWidth="1"/>
    <col min="10755" max="10755" width="17.7265625" style="117" bestFit="1" customWidth="1"/>
    <col min="10756" max="10756" width="22.453125" style="117" bestFit="1" customWidth="1"/>
    <col min="10757" max="10757" width="16.1796875" style="117" bestFit="1" customWidth="1"/>
    <col min="10758" max="10758" width="22.453125" style="117" bestFit="1" customWidth="1"/>
    <col min="10759" max="10759" width="16.1796875" style="117" customWidth="1"/>
    <col min="10760" max="10760" width="18.453125" style="117" customWidth="1"/>
    <col min="10761" max="10761" width="21.26953125" style="117" bestFit="1" customWidth="1"/>
    <col min="10762" max="10762" width="19.54296875" style="117" customWidth="1"/>
    <col min="10763" max="11005" width="9.81640625" style="117"/>
    <col min="11006" max="11006" width="9.26953125" style="117" customWidth="1"/>
    <col min="11007" max="11007" width="74.453125" style="117" customWidth="1"/>
    <col min="11008" max="11008" width="13.7265625" style="117" customWidth="1"/>
    <col min="11009" max="11009" width="14.26953125" style="117" bestFit="1" customWidth="1"/>
    <col min="11010" max="11010" width="10.81640625" style="117" bestFit="1" customWidth="1"/>
    <col min="11011" max="11011" width="17.7265625" style="117" bestFit="1" customWidth="1"/>
    <col min="11012" max="11012" width="22.453125" style="117" bestFit="1" customWidth="1"/>
    <col min="11013" max="11013" width="16.1796875" style="117" bestFit="1" customWidth="1"/>
    <col min="11014" max="11014" width="22.453125" style="117" bestFit="1" customWidth="1"/>
    <col min="11015" max="11015" width="16.1796875" style="117" customWidth="1"/>
    <col min="11016" max="11016" width="18.453125" style="117" customWidth="1"/>
    <col min="11017" max="11017" width="21.26953125" style="117" bestFit="1" customWidth="1"/>
    <col min="11018" max="11018" width="19.54296875" style="117" customWidth="1"/>
    <col min="11019" max="11261" width="9.81640625" style="117"/>
    <col min="11262" max="11262" width="9.26953125" style="117" customWidth="1"/>
    <col min="11263" max="11263" width="74.453125" style="117" customWidth="1"/>
    <col min="11264" max="11264" width="13.7265625" style="117" customWidth="1"/>
    <col min="11265" max="11265" width="14.26953125" style="117" bestFit="1" customWidth="1"/>
    <col min="11266" max="11266" width="10.81640625" style="117" bestFit="1" customWidth="1"/>
    <col min="11267" max="11267" width="17.7265625" style="117" bestFit="1" customWidth="1"/>
    <col min="11268" max="11268" width="22.453125" style="117" bestFit="1" customWidth="1"/>
    <col min="11269" max="11269" width="16.1796875" style="117" bestFit="1" customWidth="1"/>
    <col min="11270" max="11270" width="22.453125" style="117" bestFit="1" customWidth="1"/>
    <col min="11271" max="11271" width="16.1796875" style="117" customWidth="1"/>
    <col min="11272" max="11272" width="18.453125" style="117" customWidth="1"/>
    <col min="11273" max="11273" width="21.26953125" style="117" bestFit="1" customWidth="1"/>
    <col min="11274" max="11274" width="19.54296875" style="117" customWidth="1"/>
    <col min="11275" max="11517" width="9.81640625" style="117"/>
    <col min="11518" max="11518" width="9.26953125" style="117" customWidth="1"/>
    <col min="11519" max="11519" width="74.453125" style="117" customWidth="1"/>
    <col min="11520" max="11520" width="13.7265625" style="117" customWidth="1"/>
    <col min="11521" max="11521" width="14.26953125" style="117" bestFit="1" customWidth="1"/>
    <col min="11522" max="11522" width="10.81640625" style="117" bestFit="1" customWidth="1"/>
    <col min="11523" max="11523" width="17.7265625" style="117" bestFit="1" customWidth="1"/>
    <col min="11524" max="11524" width="22.453125" style="117" bestFit="1" customWidth="1"/>
    <col min="11525" max="11525" width="16.1796875" style="117" bestFit="1" customWidth="1"/>
    <col min="11526" max="11526" width="22.453125" style="117" bestFit="1" customWidth="1"/>
    <col min="11527" max="11527" width="16.1796875" style="117" customWidth="1"/>
    <col min="11528" max="11528" width="18.453125" style="117" customWidth="1"/>
    <col min="11529" max="11529" width="21.26953125" style="117" bestFit="1" customWidth="1"/>
    <col min="11530" max="11530" width="19.54296875" style="117" customWidth="1"/>
    <col min="11531" max="11773" width="9.81640625" style="117"/>
    <col min="11774" max="11774" width="9.26953125" style="117" customWidth="1"/>
    <col min="11775" max="11775" width="74.453125" style="117" customWidth="1"/>
    <col min="11776" max="11776" width="13.7265625" style="117" customWidth="1"/>
    <col min="11777" max="11777" width="14.26953125" style="117" bestFit="1" customWidth="1"/>
    <col min="11778" max="11778" width="10.81640625" style="117" bestFit="1" customWidth="1"/>
    <col min="11779" max="11779" width="17.7265625" style="117" bestFit="1" customWidth="1"/>
    <col min="11780" max="11780" width="22.453125" style="117" bestFit="1" customWidth="1"/>
    <col min="11781" max="11781" width="16.1796875" style="117" bestFit="1" customWidth="1"/>
    <col min="11782" max="11782" width="22.453125" style="117" bestFit="1" customWidth="1"/>
    <col min="11783" max="11783" width="16.1796875" style="117" customWidth="1"/>
    <col min="11784" max="11784" width="18.453125" style="117" customWidth="1"/>
    <col min="11785" max="11785" width="21.26953125" style="117" bestFit="1" customWidth="1"/>
    <col min="11786" max="11786" width="19.54296875" style="117" customWidth="1"/>
    <col min="11787" max="12029" width="9.81640625" style="117"/>
    <col min="12030" max="12030" width="9.26953125" style="117" customWidth="1"/>
    <col min="12031" max="12031" width="74.453125" style="117" customWidth="1"/>
    <col min="12032" max="12032" width="13.7265625" style="117" customWidth="1"/>
    <col min="12033" max="12033" width="14.26953125" style="117" bestFit="1" customWidth="1"/>
    <col min="12034" max="12034" width="10.81640625" style="117" bestFit="1" customWidth="1"/>
    <col min="12035" max="12035" width="17.7265625" style="117" bestFit="1" customWidth="1"/>
    <col min="12036" max="12036" width="22.453125" style="117" bestFit="1" customWidth="1"/>
    <col min="12037" max="12037" width="16.1796875" style="117" bestFit="1" customWidth="1"/>
    <col min="12038" max="12038" width="22.453125" style="117" bestFit="1" customWidth="1"/>
    <col min="12039" max="12039" width="16.1796875" style="117" customWidth="1"/>
    <col min="12040" max="12040" width="18.453125" style="117" customWidth="1"/>
    <col min="12041" max="12041" width="21.26953125" style="117" bestFit="1" customWidth="1"/>
    <col min="12042" max="12042" width="19.54296875" style="117" customWidth="1"/>
    <col min="12043" max="12285" width="9.81640625" style="117"/>
    <col min="12286" max="12286" width="9.26953125" style="117" customWidth="1"/>
    <col min="12287" max="12287" width="74.453125" style="117" customWidth="1"/>
    <col min="12288" max="12288" width="13.7265625" style="117" customWidth="1"/>
    <col min="12289" max="12289" width="14.26953125" style="117" bestFit="1" customWidth="1"/>
    <col min="12290" max="12290" width="10.81640625" style="117" bestFit="1" customWidth="1"/>
    <col min="12291" max="12291" width="17.7265625" style="117" bestFit="1" customWidth="1"/>
    <col min="12292" max="12292" width="22.453125" style="117" bestFit="1" customWidth="1"/>
    <col min="12293" max="12293" width="16.1796875" style="117" bestFit="1" customWidth="1"/>
    <col min="12294" max="12294" width="22.453125" style="117" bestFit="1" customWidth="1"/>
    <col min="12295" max="12295" width="16.1796875" style="117" customWidth="1"/>
    <col min="12296" max="12296" width="18.453125" style="117" customWidth="1"/>
    <col min="12297" max="12297" width="21.26953125" style="117" bestFit="1" customWidth="1"/>
    <col min="12298" max="12298" width="19.54296875" style="117" customWidth="1"/>
    <col min="12299" max="12541" width="9.81640625" style="117"/>
    <col min="12542" max="12542" width="9.26953125" style="117" customWidth="1"/>
    <col min="12543" max="12543" width="74.453125" style="117" customWidth="1"/>
    <col min="12544" max="12544" width="13.7265625" style="117" customWidth="1"/>
    <col min="12545" max="12545" width="14.26953125" style="117" bestFit="1" customWidth="1"/>
    <col min="12546" max="12546" width="10.81640625" style="117" bestFit="1" customWidth="1"/>
    <col min="12547" max="12547" width="17.7265625" style="117" bestFit="1" customWidth="1"/>
    <col min="12548" max="12548" width="22.453125" style="117" bestFit="1" customWidth="1"/>
    <col min="12549" max="12549" width="16.1796875" style="117" bestFit="1" customWidth="1"/>
    <col min="12550" max="12550" width="22.453125" style="117" bestFit="1" customWidth="1"/>
    <col min="12551" max="12551" width="16.1796875" style="117" customWidth="1"/>
    <col min="12552" max="12552" width="18.453125" style="117" customWidth="1"/>
    <col min="12553" max="12553" width="21.26953125" style="117" bestFit="1" customWidth="1"/>
    <col min="12554" max="12554" width="19.54296875" style="117" customWidth="1"/>
    <col min="12555" max="12797" width="9.81640625" style="117"/>
    <col min="12798" max="12798" width="9.26953125" style="117" customWidth="1"/>
    <col min="12799" max="12799" width="74.453125" style="117" customWidth="1"/>
    <col min="12800" max="12800" width="13.7265625" style="117" customWidth="1"/>
    <col min="12801" max="12801" width="14.26953125" style="117" bestFit="1" customWidth="1"/>
    <col min="12802" max="12802" width="10.81640625" style="117" bestFit="1" customWidth="1"/>
    <col min="12803" max="12803" width="17.7265625" style="117" bestFit="1" customWidth="1"/>
    <col min="12804" max="12804" width="22.453125" style="117" bestFit="1" customWidth="1"/>
    <col min="12805" max="12805" width="16.1796875" style="117" bestFit="1" customWidth="1"/>
    <col min="12806" max="12806" width="22.453125" style="117" bestFit="1" customWidth="1"/>
    <col min="12807" max="12807" width="16.1796875" style="117" customWidth="1"/>
    <col min="12808" max="12808" width="18.453125" style="117" customWidth="1"/>
    <col min="12809" max="12809" width="21.26953125" style="117" bestFit="1" customWidth="1"/>
    <col min="12810" max="12810" width="19.54296875" style="117" customWidth="1"/>
    <col min="12811" max="13053" width="9.81640625" style="117"/>
    <col min="13054" max="13054" width="9.26953125" style="117" customWidth="1"/>
    <col min="13055" max="13055" width="74.453125" style="117" customWidth="1"/>
    <col min="13056" max="13056" width="13.7265625" style="117" customWidth="1"/>
    <col min="13057" max="13057" width="14.26953125" style="117" bestFit="1" customWidth="1"/>
    <col min="13058" max="13058" width="10.81640625" style="117" bestFit="1" customWidth="1"/>
    <col min="13059" max="13059" width="17.7265625" style="117" bestFit="1" customWidth="1"/>
    <col min="13060" max="13060" width="22.453125" style="117" bestFit="1" customWidth="1"/>
    <col min="13061" max="13061" width="16.1796875" style="117" bestFit="1" customWidth="1"/>
    <col min="13062" max="13062" width="22.453125" style="117" bestFit="1" customWidth="1"/>
    <col min="13063" max="13063" width="16.1796875" style="117" customWidth="1"/>
    <col min="13064" max="13064" width="18.453125" style="117" customWidth="1"/>
    <col min="13065" max="13065" width="21.26953125" style="117" bestFit="1" customWidth="1"/>
    <col min="13066" max="13066" width="19.54296875" style="117" customWidth="1"/>
    <col min="13067" max="13309" width="9.81640625" style="117"/>
    <col min="13310" max="13310" width="9.26953125" style="117" customWidth="1"/>
    <col min="13311" max="13311" width="74.453125" style="117" customWidth="1"/>
    <col min="13312" max="13312" width="13.7265625" style="117" customWidth="1"/>
    <col min="13313" max="13313" width="14.26953125" style="117" bestFit="1" customWidth="1"/>
    <col min="13314" max="13314" width="10.81640625" style="117" bestFit="1" customWidth="1"/>
    <col min="13315" max="13315" width="17.7265625" style="117" bestFit="1" customWidth="1"/>
    <col min="13316" max="13316" width="22.453125" style="117" bestFit="1" customWidth="1"/>
    <col min="13317" max="13317" width="16.1796875" style="117" bestFit="1" customWidth="1"/>
    <col min="13318" max="13318" width="22.453125" style="117" bestFit="1" customWidth="1"/>
    <col min="13319" max="13319" width="16.1796875" style="117" customWidth="1"/>
    <col min="13320" max="13320" width="18.453125" style="117" customWidth="1"/>
    <col min="13321" max="13321" width="21.26953125" style="117" bestFit="1" customWidth="1"/>
    <col min="13322" max="13322" width="19.54296875" style="117" customWidth="1"/>
    <col min="13323" max="13565" width="9.81640625" style="117"/>
    <col min="13566" max="13566" width="9.26953125" style="117" customWidth="1"/>
    <col min="13567" max="13567" width="74.453125" style="117" customWidth="1"/>
    <col min="13568" max="13568" width="13.7265625" style="117" customWidth="1"/>
    <col min="13569" max="13569" width="14.26953125" style="117" bestFit="1" customWidth="1"/>
    <col min="13570" max="13570" width="10.81640625" style="117" bestFit="1" customWidth="1"/>
    <col min="13571" max="13571" width="17.7265625" style="117" bestFit="1" customWidth="1"/>
    <col min="13572" max="13572" width="22.453125" style="117" bestFit="1" customWidth="1"/>
    <col min="13573" max="13573" width="16.1796875" style="117" bestFit="1" customWidth="1"/>
    <col min="13574" max="13574" width="22.453125" style="117" bestFit="1" customWidth="1"/>
    <col min="13575" max="13575" width="16.1796875" style="117" customWidth="1"/>
    <col min="13576" max="13576" width="18.453125" style="117" customWidth="1"/>
    <col min="13577" max="13577" width="21.26953125" style="117" bestFit="1" customWidth="1"/>
    <col min="13578" max="13578" width="19.54296875" style="117" customWidth="1"/>
    <col min="13579" max="13821" width="9.81640625" style="117"/>
    <col min="13822" max="13822" width="9.26953125" style="117" customWidth="1"/>
    <col min="13823" max="13823" width="74.453125" style="117" customWidth="1"/>
    <col min="13824" max="13824" width="13.7265625" style="117" customWidth="1"/>
    <col min="13825" max="13825" width="14.26953125" style="117" bestFit="1" customWidth="1"/>
    <col min="13826" max="13826" width="10.81640625" style="117" bestFit="1" customWidth="1"/>
    <col min="13827" max="13827" width="17.7265625" style="117" bestFit="1" customWidth="1"/>
    <col min="13828" max="13828" width="22.453125" style="117" bestFit="1" customWidth="1"/>
    <col min="13829" max="13829" width="16.1796875" style="117" bestFit="1" customWidth="1"/>
    <col min="13830" max="13830" width="22.453125" style="117" bestFit="1" customWidth="1"/>
    <col min="13831" max="13831" width="16.1796875" style="117" customWidth="1"/>
    <col min="13832" max="13832" width="18.453125" style="117" customWidth="1"/>
    <col min="13833" max="13833" width="21.26953125" style="117" bestFit="1" customWidth="1"/>
    <col min="13834" max="13834" width="19.54296875" style="117" customWidth="1"/>
    <col min="13835" max="14077" width="9.81640625" style="117"/>
    <col min="14078" max="14078" width="9.26953125" style="117" customWidth="1"/>
    <col min="14079" max="14079" width="74.453125" style="117" customWidth="1"/>
    <col min="14080" max="14080" width="13.7265625" style="117" customWidth="1"/>
    <col min="14081" max="14081" width="14.26953125" style="117" bestFit="1" customWidth="1"/>
    <col min="14082" max="14082" width="10.81640625" style="117" bestFit="1" customWidth="1"/>
    <col min="14083" max="14083" width="17.7265625" style="117" bestFit="1" customWidth="1"/>
    <col min="14084" max="14084" width="22.453125" style="117" bestFit="1" customWidth="1"/>
    <col min="14085" max="14085" width="16.1796875" style="117" bestFit="1" customWidth="1"/>
    <col min="14086" max="14086" width="22.453125" style="117" bestFit="1" customWidth="1"/>
    <col min="14087" max="14087" width="16.1796875" style="117" customWidth="1"/>
    <col min="14088" max="14088" width="18.453125" style="117" customWidth="1"/>
    <col min="14089" max="14089" width="21.26953125" style="117" bestFit="1" customWidth="1"/>
    <col min="14090" max="14090" width="19.54296875" style="117" customWidth="1"/>
    <col min="14091" max="14333" width="9.81640625" style="117"/>
    <col min="14334" max="14334" width="9.26953125" style="117" customWidth="1"/>
    <col min="14335" max="14335" width="74.453125" style="117" customWidth="1"/>
    <col min="14336" max="14336" width="13.7265625" style="117" customWidth="1"/>
    <col min="14337" max="14337" width="14.26953125" style="117" bestFit="1" customWidth="1"/>
    <col min="14338" max="14338" width="10.81640625" style="117" bestFit="1" customWidth="1"/>
    <col min="14339" max="14339" width="17.7265625" style="117" bestFit="1" customWidth="1"/>
    <col min="14340" max="14340" width="22.453125" style="117" bestFit="1" customWidth="1"/>
    <col min="14341" max="14341" width="16.1796875" style="117" bestFit="1" customWidth="1"/>
    <col min="14342" max="14342" width="22.453125" style="117" bestFit="1" customWidth="1"/>
    <col min="14343" max="14343" width="16.1796875" style="117" customWidth="1"/>
    <col min="14344" max="14344" width="18.453125" style="117" customWidth="1"/>
    <col min="14345" max="14345" width="21.26953125" style="117" bestFit="1" customWidth="1"/>
    <col min="14346" max="14346" width="19.54296875" style="117" customWidth="1"/>
    <col min="14347" max="14589" width="9.81640625" style="117"/>
    <col min="14590" max="14590" width="9.26953125" style="117" customWidth="1"/>
    <col min="14591" max="14591" width="74.453125" style="117" customWidth="1"/>
    <col min="14592" max="14592" width="13.7265625" style="117" customWidth="1"/>
    <col min="14593" max="14593" width="14.26953125" style="117" bestFit="1" customWidth="1"/>
    <col min="14594" max="14594" width="10.81640625" style="117" bestFit="1" customWidth="1"/>
    <col min="14595" max="14595" width="17.7265625" style="117" bestFit="1" customWidth="1"/>
    <col min="14596" max="14596" width="22.453125" style="117" bestFit="1" customWidth="1"/>
    <col min="14597" max="14597" width="16.1796875" style="117" bestFit="1" customWidth="1"/>
    <col min="14598" max="14598" width="22.453125" style="117" bestFit="1" customWidth="1"/>
    <col min="14599" max="14599" width="16.1796875" style="117" customWidth="1"/>
    <col min="14600" max="14600" width="18.453125" style="117" customWidth="1"/>
    <col min="14601" max="14601" width="21.26953125" style="117" bestFit="1" customWidth="1"/>
    <col min="14602" max="14602" width="19.54296875" style="117" customWidth="1"/>
    <col min="14603" max="14845" width="9.81640625" style="117"/>
    <col min="14846" max="14846" width="9.26953125" style="117" customWidth="1"/>
    <col min="14847" max="14847" width="74.453125" style="117" customWidth="1"/>
    <col min="14848" max="14848" width="13.7265625" style="117" customWidth="1"/>
    <col min="14849" max="14849" width="14.26953125" style="117" bestFit="1" customWidth="1"/>
    <col min="14850" max="14850" width="10.81640625" style="117" bestFit="1" customWidth="1"/>
    <col min="14851" max="14851" width="17.7265625" style="117" bestFit="1" customWidth="1"/>
    <col min="14852" max="14852" width="22.453125" style="117" bestFit="1" customWidth="1"/>
    <col min="14853" max="14853" width="16.1796875" style="117" bestFit="1" customWidth="1"/>
    <col min="14854" max="14854" width="22.453125" style="117" bestFit="1" customWidth="1"/>
    <col min="14855" max="14855" width="16.1796875" style="117" customWidth="1"/>
    <col min="14856" max="14856" width="18.453125" style="117" customWidth="1"/>
    <col min="14857" max="14857" width="21.26953125" style="117" bestFit="1" customWidth="1"/>
    <col min="14858" max="14858" width="19.54296875" style="117" customWidth="1"/>
    <col min="14859" max="15101" width="9.81640625" style="117"/>
    <col min="15102" max="15102" width="9.26953125" style="117" customWidth="1"/>
    <col min="15103" max="15103" width="74.453125" style="117" customWidth="1"/>
    <col min="15104" max="15104" width="13.7265625" style="117" customWidth="1"/>
    <col min="15105" max="15105" width="14.26953125" style="117" bestFit="1" customWidth="1"/>
    <col min="15106" max="15106" width="10.81640625" style="117" bestFit="1" customWidth="1"/>
    <col min="15107" max="15107" width="17.7265625" style="117" bestFit="1" customWidth="1"/>
    <col min="15108" max="15108" width="22.453125" style="117" bestFit="1" customWidth="1"/>
    <col min="15109" max="15109" width="16.1796875" style="117" bestFit="1" customWidth="1"/>
    <col min="15110" max="15110" width="22.453125" style="117" bestFit="1" customWidth="1"/>
    <col min="15111" max="15111" width="16.1796875" style="117" customWidth="1"/>
    <col min="15112" max="15112" width="18.453125" style="117" customWidth="1"/>
    <col min="15113" max="15113" width="21.26953125" style="117" bestFit="1" customWidth="1"/>
    <col min="15114" max="15114" width="19.54296875" style="117" customWidth="1"/>
    <col min="15115" max="15357" width="9.81640625" style="117"/>
    <col min="15358" max="15358" width="9.26953125" style="117" customWidth="1"/>
    <col min="15359" max="15359" width="74.453125" style="117" customWidth="1"/>
    <col min="15360" max="15360" width="13.7265625" style="117" customWidth="1"/>
    <col min="15361" max="15361" width="14.26953125" style="117" bestFit="1" customWidth="1"/>
    <col min="15362" max="15362" width="10.81640625" style="117" bestFit="1" customWidth="1"/>
    <col min="15363" max="15363" width="17.7265625" style="117" bestFit="1" customWidth="1"/>
    <col min="15364" max="15364" width="22.453125" style="117" bestFit="1" customWidth="1"/>
    <col min="15365" max="15365" width="16.1796875" style="117" bestFit="1" customWidth="1"/>
    <col min="15366" max="15366" width="22.453125" style="117" bestFit="1" customWidth="1"/>
    <col min="15367" max="15367" width="16.1796875" style="117" customWidth="1"/>
    <col min="15368" max="15368" width="18.453125" style="117" customWidth="1"/>
    <col min="15369" max="15369" width="21.26953125" style="117" bestFit="1" customWidth="1"/>
    <col min="15370" max="15370" width="19.54296875" style="117" customWidth="1"/>
    <col min="15371" max="15613" width="9.81640625" style="117"/>
    <col min="15614" max="15614" width="9.26953125" style="117" customWidth="1"/>
    <col min="15615" max="15615" width="74.453125" style="117" customWidth="1"/>
    <col min="15616" max="15616" width="13.7265625" style="117" customWidth="1"/>
    <col min="15617" max="15617" width="14.26953125" style="117" bestFit="1" customWidth="1"/>
    <col min="15618" max="15618" width="10.81640625" style="117" bestFit="1" customWidth="1"/>
    <col min="15619" max="15619" width="17.7265625" style="117" bestFit="1" customWidth="1"/>
    <col min="15620" max="15620" width="22.453125" style="117" bestFit="1" customWidth="1"/>
    <col min="15621" max="15621" width="16.1796875" style="117" bestFit="1" customWidth="1"/>
    <col min="15622" max="15622" width="22.453125" style="117" bestFit="1" customWidth="1"/>
    <col min="15623" max="15623" width="16.1796875" style="117" customWidth="1"/>
    <col min="15624" max="15624" width="18.453125" style="117" customWidth="1"/>
    <col min="15625" max="15625" width="21.26953125" style="117" bestFit="1" customWidth="1"/>
    <col min="15626" max="15626" width="19.54296875" style="117" customWidth="1"/>
    <col min="15627" max="15869" width="9.81640625" style="117"/>
    <col min="15870" max="15870" width="9.26953125" style="117" customWidth="1"/>
    <col min="15871" max="15871" width="74.453125" style="117" customWidth="1"/>
    <col min="15872" max="15872" width="13.7265625" style="117" customWidth="1"/>
    <col min="15873" max="15873" width="14.26953125" style="117" bestFit="1" customWidth="1"/>
    <col min="15874" max="15874" width="10.81640625" style="117" bestFit="1" customWidth="1"/>
    <col min="15875" max="15875" width="17.7265625" style="117" bestFit="1" customWidth="1"/>
    <col min="15876" max="15876" width="22.453125" style="117" bestFit="1" customWidth="1"/>
    <col min="15877" max="15877" width="16.1796875" style="117" bestFit="1" customWidth="1"/>
    <col min="15878" max="15878" width="22.453125" style="117" bestFit="1" customWidth="1"/>
    <col min="15879" max="15879" width="16.1796875" style="117" customWidth="1"/>
    <col min="15880" max="15880" width="18.453125" style="117" customWidth="1"/>
    <col min="15881" max="15881" width="21.26953125" style="117" bestFit="1" customWidth="1"/>
    <col min="15882" max="15882" width="19.54296875" style="117" customWidth="1"/>
    <col min="15883" max="16125" width="9.81640625" style="117"/>
    <col min="16126" max="16126" width="9.26953125" style="117" customWidth="1"/>
    <col min="16127" max="16127" width="74.453125" style="117" customWidth="1"/>
    <col min="16128" max="16128" width="13.7265625" style="117" customWidth="1"/>
    <col min="16129" max="16129" width="14.26953125" style="117" bestFit="1" customWidth="1"/>
    <col min="16130" max="16130" width="10.81640625" style="117" bestFit="1" customWidth="1"/>
    <col min="16131" max="16131" width="17.7265625" style="117" bestFit="1" customWidth="1"/>
    <col min="16132" max="16132" width="22.453125" style="117" bestFit="1" customWidth="1"/>
    <col min="16133" max="16133" width="16.1796875" style="117" bestFit="1" customWidth="1"/>
    <col min="16134" max="16134" width="22.453125" style="117" bestFit="1" customWidth="1"/>
    <col min="16135" max="16135" width="16.1796875" style="117" customWidth="1"/>
    <col min="16136" max="16136" width="18.453125" style="117" customWidth="1"/>
    <col min="16137" max="16137" width="21.26953125" style="117" bestFit="1" customWidth="1"/>
    <col min="16138" max="16138" width="19.54296875" style="117" customWidth="1"/>
    <col min="16139" max="16384" width="9.81640625" style="117"/>
  </cols>
  <sheetData>
    <row r="1" spans="1:16" s="289" customFormat="1" ht="36" customHeight="1">
      <c r="A1" s="475" t="s">
        <v>197</v>
      </c>
      <c r="B1" s="475"/>
      <c r="C1" s="475"/>
      <c r="D1" s="475"/>
      <c r="E1" s="475"/>
      <c r="F1" s="475"/>
      <c r="G1" s="475"/>
      <c r="H1" s="475"/>
      <c r="I1" s="475"/>
      <c r="J1" s="475"/>
    </row>
    <row r="2" spans="1:16" s="289" customFormat="1" ht="36" customHeight="1">
      <c r="A2" s="475" t="str">
        <f>ნაერთი!A4</f>
        <v>ქ. გორი, ცხინვალის გზატკეცილის მე-2 კილომეტრი (ს/ნ: 66.46.07.495) - ავერსის კლინიკის შენობა</v>
      </c>
      <c r="B2" s="475"/>
      <c r="C2" s="475"/>
      <c r="D2" s="475"/>
      <c r="E2" s="475"/>
      <c r="F2" s="475"/>
      <c r="G2" s="475"/>
      <c r="H2" s="475"/>
      <c r="I2" s="475"/>
      <c r="J2" s="475"/>
    </row>
    <row r="3" spans="1:16" s="289" customFormat="1" ht="51" customHeight="1">
      <c r="A3" s="475" t="s">
        <v>196</v>
      </c>
      <c r="B3" s="475"/>
      <c r="C3" s="475"/>
      <c r="D3" s="475"/>
      <c r="E3" s="475"/>
      <c r="F3" s="475"/>
      <c r="G3" s="475"/>
      <c r="H3" s="475"/>
      <c r="I3" s="475"/>
      <c r="J3" s="475"/>
    </row>
    <row r="4" spans="1:16" s="290" customFormat="1" ht="18.649999999999999" customHeight="1">
      <c r="A4" s="483"/>
      <c r="B4" s="483"/>
      <c r="C4" s="483"/>
      <c r="D4" s="483"/>
      <c r="E4" s="483"/>
      <c r="F4" s="483"/>
      <c r="G4" s="483"/>
      <c r="H4" s="483"/>
      <c r="I4" s="483"/>
      <c r="J4" s="483"/>
    </row>
    <row r="5" spans="1:16" s="290" customFormat="1" ht="18.649999999999999" customHeight="1">
      <c r="A5" s="375"/>
      <c r="B5" s="375"/>
      <c r="C5" s="375"/>
      <c r="D5" s="375"/>
      <c r="E5" s="404"/>
      <c r="F5" s="375"/>
      <c r="G5" s="375"/>
      <c r="H5" s="375"/>
      <c r="I5" s="375"/>
      <c r="J5" s="375"/>
    </row>
    <row r="6" spans="1:16" ht="70.5" customHeight="1">
      <c r="A6" s="479" t="s">
        <v>170</v>
      </c>
      <c r="B6" s="480" t="s">
        <v>1</v>
      </c>
      <c r="C6" s="479" t="s">
        <v>20</v>
      </c>
      <c r="D6" s="481" t="s">
        <v>19</v>
      </c>
      <c r="E6" s="486" t="s">
        <v>2</v>
      </c>
      <c r="F6" s="476" t="s">
        <v>3</v>
      </c>
      <c r="G6" s="476"/>
      <c r="H6" s="476" t="s">
        <v>4</v>
      </c>
      <c r="I6" s="476"/>
      <c r="J6" s="484" t="s">
        <v>70</v>
      </c>
    </row>
    <row r="7" spans="1:16" ht="33" customHeight="1">
      <c r="A7" s="479"/>
      <c r="B7" s="480"/>
      <c r="C7" s="479"/>
      <c r="D7" s="481"/>
      <c r="E7" s="486"/>
      <c r="F7" s="113" t="s">
        <v>6</v>
      </c>
      <c r="G7" s="266" t="s">
        <v>7</v>
      </c>
      <c r="H7" s="115" t="s">
        <v>6</v>
      </c>
      <c r="I7" s="266" t="s">
        <v>7</v>
      </c>
      <c r="J7" s="485"/>
    </row>
    <row r="8" spans="1:16" ht="27.75" customHeight="1">
      <c r="A8" s="376">
        <v>1</v>
      </c>
      <c r="B8" s="376">
        <v>2</v>
      </c>
      <c r="C8" s="376">
        <v>3</v>
      </c>
      <c r="D8" s="376">
        <v>4</v>
      </c>
      <c r="E8" s="405">
        <v>5</v>
      </c>
      <c r="F8" s="376">
        <v>6</v>
      </c>
      <c r="G8" s="376">
        <v>7</v>
      </c>
      <c r="H8" s="376">
        <v>8</v>
      </c>
      <c r="I8" s="376">
        <v>9</v>
      </c>
      <c r="J8" s="376">
        <v>10</v>
      </c>
    </row>
    <row r="9" spans="1:16" s="349" customFormat="1" ht="41.25" customHeight="1">
      <c r="A9" s="348"/>
      <c r="B9" s="291" t="s">
        <v>171</v>
      </c>
      <c r="C9" s="348"/>
      <c r="D9" s="348"/>
      <c r="E9" s="406"/>
      <c r="F9" s="372"/>
      <c r="G9" s="372"/>
      <c r="H9" s="372"/>
      <c r="I9" s="372"/>
      <c r="J9" s="372"/>
      <c r="K9" s="560"/>
      <c r="L9" s="560"/>
      <c r="M9" s="560"/>
      <c r="N9" s="560"/>
      <c r="O9" s="560"/>
      <c r="P9" s="560"/>
    </row>
    <row r="10" spans="1:16" s="349" customFormat="1" ht="33.75" customHeight="1">
      <c r="A10" s="350">
        <v>1</v>
      </c>
      <c r="B10" s="262" t="s">
        <v>158</v>
      </c>
      <c r="C10" s="351" t="s">
        <v>28</v>
      </c>
      <c r="D10" s="377"/>
      <c r="E10" s="407">
        <f>E17*1.2*1</f>
        <v>291.89640000000003</v>
      </c>
      <c r="F10" s="561"/>
      <c r="G10" s="561"/>
      <c r="H10" s="58"/>
      <c r="I10" s="561"/>
      <c r="J10" s="561"/>
      <c r="K10" s="560"/>
      <c r="L10" s="537"/>
      <c r="M10" s="560"/>
      <c r="N10" s="560"/>
      <c r="O10" s="560"/>
      <c r="P10" s="560"/>
    </row>
    <row r="11" spans="1:16" s="349" customFormat="1" ht="33.75" customHeight="1">
      <c r="A11" s="350">
        <f>A10+1</f>
        <v>2</v>
      </c>
      <c r="B11" s="262" t="s">
        <v>154</v>
      </c>
      <c r="C11" s="351" t="s">
        <v>28</v>
      </c>
      <c r="D11" s="377"/>
      <c r="E11" s="407">
        <f>E10</f>
        <v>291.89640000000003</v>
      </c>
      <c r="F11" s="561"/>
      <c r="G11" s="561"/>
      <c r="H11" s="561"/>
      <c r="I11" s="561"/>
      <c r="J11" s="561"/>
      <c r="K11" s="560"/>
      <c r="L11" s="537"/>
      <c r="M11" s="560"/>
      <c r="N11" s="560"/>
      <c r="O11" s="560"/>
      <c r="P11" s="560"/>
    </row>
    <row r="12" spans="1:16" s="349" customFormat="1" ht="33.75" customHeight="1">
      <c r="A12" s="350">
        <f>A11+1</f>
        <v>3</v>
      </c>
      <c r="B12" s="262" t="s">
        <v>155</v>
      </c>
      <c r="C12" s="351" t="s">
        <v>28</v>
      </c>
      <c r="D12" s="377"/>
      <c r="E12" s="407">
        <f>E10</f>
        <v>291.89640000000003</v>
      </c>
      <c r="F12" s="561"/>
      <c r="G12" s="561"/>
      <c r="H12" s="561"/>
      <c r="I12" s="561"/>
      <c r="J12" s="561"/>
      <c r="K12" s="560"/>
      <c r="L12" s="537"/>
      <c r="M12" s="560"/>
      <c r="N12" s="560"/>
      <c r="O12" s="560"/>
      <c r="P12" s="560"/>
    </row>
    <row r="13" spans="1:16" s="349" customFormat="1" ht="33.75" customHeight="1">
      <c r="A13" s="352">
        <f>A12+1</f>
        <v>4</v>
      </c>
      <c r="B13" s="353" t="s">
        <v>191</v>
      </c>
      <c r="C13" s="354" t="s">
        <v>28</v>
      </c>
      <c r="D13" s="378"/>
      <c r="E13" s="408">
        <f>$E$17*1*0.2</f>
        <v>48.649400000000007</v>
      </c>
      <c r="F13" s="402"/>
      <c r="G13" s="402"/>
      <c r="H13" s="402"/>
      <c r="I13" s="402"/>
      <c r="J13" s="402"/>
      <c r="K13" s="560"/>
      <c r="L13" s="537"/>
      <c r="M13" s="560"/>
      <c r="N13" s="560"/>
      <c r="O13" s="560"/>
      <c r="P13" s="560"/>
    </row>
    <row r="14" spans="1:16" s="349" customFormat="1" ht="33.75" customHeight="1">
      <c r="A14" s="352">
        <f>A13+1</f>
        <v>5</v>
      </c>
      <c r="B14" s="355" t="s">
        <v>192</v>
      </c>
      <c r="C14" s="356" t="s">
        <v>28</v>
      </c>
      <c r="D14" s="378"/>
      <c r="E14" s="408">
        <f>$E$17*1*0.4</f>
        <v>97.298800000000014</v>
      </c>
      <c r="F14" s="402"/>
      <c r="G14" s="402"/>
      <c r="H14" s="402"/>
      <c r="I14" s="402"/>
      <c r="J14" s="402"/>
      <c r="K14" s="560"/>
      <c r="L14" s="537"/>
      <c r="M14" s="560"/>
      <c r="N14" s="560"/>
      <c r="O14" s="560"/>
      <c r="P14" s="560"/>
    </row>
    <row r="15" spans="1:16" s="349" customFormat="1" ht="33.75" customHeight="1">
      <c r="A15" s="352">
        <f>A14+1</f>
        <v>6</v>
      </c>
      <c r="B15" s="355" t="s">
        <v>193</v>
      </c>
      <c r="C15" s="356" t="s">
        <v>28</v>
      </c>
      <c r="D15" s="378"/>
      <c r="E15" s="408">
        <f>$E$17*1*0.6</f>
        <v>145.94820000000001</v>
      </c>
      <c r="F15" s="402"/>
      <c r="G15" s="402"/>
      <c r="H15" s="402"/>
      <c r="I15" s="402"/>
      <c r="J15" s="402"/>
      <c r="K15" s="560"/>
      <c r="L15" s="537"/>
      <c r="M15" s="560"/>
      <c r="N15" s="560"/>
      <c r="O15" s="560"/>
      <c r="P15" s="560"/>
    </row>
    <row r="16" spans="1:16" ht="36.75" customHeight="1">
      <c r="A16" s="348"/>
      <c r="B16" s="291" t="s">
        <v>245</v>
      </c>
      <c r="C16" s="348"/>
      <c r="D16" s="379"/>
      <c r="E16" s="409"/>
      <c r="F16" s="382"/>
      <c r="G16" s="382"/>
      <c r="H16" s="382"/>
      <c r="I16" s="382"/>
      <c r="J16" s="382"/>
      <c r="K16" s="562"/>
      <c r="L16" s="562"/>
      <c r="M16" s="562"/>
      <c r="N16" s="562"/>
      <c r="O16" s="562"/>
      <c r="P16" s="562"/>
    </row>
    <row r="17" spans="1:16" s="396" customFormat="1" ht="30" customHeight="1">
      <c r="A17" s="393">
        <f>A15+1</f>
        <v>7</v>
      </c>
      <c r="B17" s="394" t="s">
        <v>246</v>
      </c>
      <c r="C17" s="395" t="s">
        <v>172</v>
      </c>
      <c r="D17" s="380"/>
      <c r="E17" s="408">
        <f>'მოცულობები ყველა'!C21</f>
        <v>243.24700000000001</v>
      </c>
      <c r="F17" s="402"/>
      <c r="G17" s="402"/>
      <c r="H17" s="402"/>
      <c r="I17" s="402"/>
      <c r="J17" s="402"/>
      <c r="K17" s="563"/>
      <c r="L17" s="564"/>
      <c r="M17" s="563"/>
      <c r="N17" s="563"/>
      <c r="O17" s="563"/>
      <c r="P17" s="563"/>
    </row>
    <row r="18" spans="1:16" s="396" customFormat="1" ht="30" customHeight="1">
      <c r="A18" s="393">
        <f>A17+1</f>
        <v>8</v>
      </c>
      <c r="B18" s="394" t="s">
        <v>173</v>
      </c>
      <c r="C18" s="395" t="s">
        <v>15</v>
      </c>
      <c r="D18" s="378"/>
      <c r="E18" s="408">
        <f>E19</f>
        <v>24</v>
      </c>
      <c r="F18" s="402"/>
      <c r="G18" s="402"/>
      <c r="H18" s="402"/>
      <c r="I18" s="402"/>
      <c r="J18" s="402"/>
      <c r="K18" s="563"/>
      <c r="L18" s="565"/>
      <c r="M18" s="563"/>
      <c r="N18" s="563"/>
      <c r="O18" s="563"/>
      <c r="P18" s="563"/>
    </row>
    <row r="19" spans="1:16" s="292" customFormat="1" ht="33" customHeight="1">
      <c r="A19" s="393">
        <f t="shared" ref="A19:A20" si="0">A18+1</f>
        <v>9</v>
      </c>
      <c r="B19" s="353" t="s">
        <v>247</v>
      </c>
      <c r="C19" s="354" t="s">
        <v>174</v>
      </c>
      <c r="D19" s="378"/>
      <c r="E19" s="408">
        <v>24</v>
      </c>
      <c r="F19" s="402"/>
      <c r="G19" s="402"/>
      <c r="H19" s="402"/>
      <c r="I19" s="402"/>
      <c r="J19" s="402"/>
      <c r="K19" s="566"/>
      <c r="L19" s="567"/>
      <c r="M19" s="566"/>
      <c r="N19" s="566"/>
      <c r="O19" s="566"/>
      <c r="P19" s="566"/>
    </row>
    <row r="20" spans="1:16" s="396" customFormat="1">
      <c r="A20" s="393">
        <f t="shared" si="0"/>
        <v>10</v>
      </c>
      <c r="B20" s="397" t="s">
        <v>248</v>
      </c>
      <c r="C20" s="398" t="s">
        <v>174</v>
      </c>
      <c r="D20" s="381"/>
      <c r="E20" s="410">
        <v>1</v>
      </c>
      <c r="F20" s="568"/>
      <c r="G20" s="403"/>
      <c r="H20" s="568"/>
      <c r="I20" s="403"/>
      <c r="J20" s="403"/>
      <c r="K20" s="563"/>
      <c r="L20" s="563"/>
      <c r="M20" s="563"/>
      <c r="N20" s="563"/>
      <c r="O20" s="563"/>
      <c r="P20" s="563"/>
    </row>
    <row r="21" spans="1:16" s="347" customFormat="1" ht="58.5" customHeight="1">
      <c r="A21" s="348"/>
      <c r="B21" s="291" t="s">
        <v>175</v>
      </c>
      <c r="C21" s="348"/>
      <c r="D21" s="379"/>
      <c r="E21" s="409"/>
      <c r="F21" s="382"/>
      <c r="G21" s="382"/>
      <c r="H21" s="382"/>
      <c r="I21" s="382"/>
      <c r="J21" s="382"/>
      <c r="K21" s="569"/>
      <c r="L21" s="570"/>
      <c r="M21" s="570"/>
      <c r="N21" s="570"/>
      <c r="O21" s="570"/>
      <c r="P21" s="570"/>
    </row>
    <row r="22" spans="1:16" s="396" customFormat="1" ht="25.5" customHeight="1">
      <c r="A22" s="372">
        <f>A20+1</f>
        <v>11</v>
      </c>
      <c r="B22" s="373" t="s">
        <v>249</v>
      </c>
      <c r="C22" s="372" t="s">
        <v>28</v>
      </c>
      <c r="D22" s="382"/>
      <c r="E22" s="411">
        <f>2.4*2.4*2.5*1.25</f>
        <v>18</v>
      </c>
      <c r="F22" s="383"/>
      <c r="G22" s="382"/>
      <c r="H22" s="58"/>
      <c r="I22" s="382"/>
      <c r="J22" s="382"/>
      <c r="K22" s="571"/>
      <c r="L22" s="537"/>
      <c r="M22" s="563"/>
      <c r="N22" s="563"/>
      <c r="O22" s="563"/>
      <c r="P22" s="563"/>
    </row>
    <row r="23" spans="1:16" s="396" customFormat="1" ht="25.5" customHeight="1">
      <c r="A23" s="372">
        <f>A22+1</f>
        <v>12</v>
      </c>
      <c r="B23" s="373" t="s">
        <v>250</v>
      </c>
      <c r="C23" s="374" t="s">
        <v>28</v>
      </c>
      <c r="D23" s="383">
        <v>1.3</v>
      </c>
      <c r="E23" s="412">
        <f>D23*E22</f>
        <v>23.400000000000002</v>
      </c>
      <c r="F23" s="382"/>
      <c r="G23" s="382"/>
      <c r="H23" s="382"/>
      <c r="I23" s="382"/>
      <c r="J23" s="382"/>
      <c r="K23" s="571"/>
      <c r="L23" s="537"/>
      <c r="M23" s="563"/>
      <c r="N23" s="563"/>
      <c r="O23" s="563"/>
      <c r="P23" s="563"/>
    </row>
    <row r="24" spans="1:16" s="396" customFormat="1" ht="25.5" customHeight="1">
      <c r="A24" s="372">
        <f>A23+1</f>
        <v>13</v>
      </c>
      <c r="B24" s="373" t="s">
        <v>155</v>
      </c>
      <c r="C24" s="374" t="s">
        <v>28</v>
      </c>
      <c r="D24" s="383">
        <v>1.3</v>
      </c>
      <c r="E24" s="412">
        <f>E23</f>
        <v>23.400000000000002</v>
      </c>
      <c r="F24" s="382"/>
      <c r="G24" s="382"/>
      <c r="H24" s="561"/>
      <c r="I24" s="382"/>
      <c r="J24" s="382"/>
      <c r="K24" s="571"/>
      <c r="L24" s="537"/>
      <c r="M24" s="563"/>
      <c r="N24" s="563"/>
      <c r="O24" s="563"/>
      <c r="P24" s="563"/>
    </row>
    <row r="25" spans="1:16" s="342" customFormat="1" ht="44.25" customHeight="1">
      <c r="A25" s="370">
        <f>A24+1</f>
        <v>14</v>
      </c>
      <c r="B25" s="371" t="s">
        <v>177</v>
      </c>
      <c r="C25" s="370" t="s">
        <v>130</v>
      </c>
      <c r="D25" s="384"/>
      <c r="E25" s="413">
        <f>2.4*2.4*0.4</f>
        <v>2.3039999999999998</v>
      </c>
      <c r="F25" s="385"/>
      <c r="G25" s="385"/>
      <c r="H25" s="385"/>
      <c r="I25" s="385"/>
      <c r="J25" s="385"/>
      <c r="K25" s="572"/>
      <c r="L25" s="573"/>
      <c r="M25" s="574"/>
      <c r="N25" s="573"/>
      <c r="O25" s="573"/>
      <c r="P25" s="573"/>
    </row>
    <row r="26" spans="1:16" s="214" customFormat="1">
      <c r="A26" s="343" t="s">
        <v>21</v>
      </c>
      <c r="B26" s="344" t="s">
        <v>4</v>
      </c>
      <c r="C26" s="343" t="s">
        <v>39</v>
      </c>
      <c r="D26" s="386">
        <v>1</v>
      </c>
      <c r="E26" s="414">
        <f>2.4*2.4</f>
        <v>5.76</v>
      </c>
      <c r="F26" s="387"/>
      <c r="G26" s="387"/>
      <c r="H26" s="387"/>
      <c r="I26" s="387"/>
      <c r="J26" s="568"/>
      <c r="K26" s="572"/>
      <c r="L26" s="79"/>
      <c r="M26" s="543"/>
      <c r="N26" s="544"/>
      <c r="O26" s="544"/>
      <c r="P26" s="544"/>
    </row>
    <row r="27" spans="1:16" s="214" customFormat="1">
      <c r="A27" s="343" t="s">
        <v>21</v>
      </c>
      <c r="B27" s="345" t="s">
        <v>131</v>
      </c>
      <c r="C27" s="343" t="s">
        <v>130</v>
      </c>
      <c r="D27" s="386">
        <v>1.0149999999999999</v>
      </c>
      <c r="E27" s="415">
        <f>D27*E25</f>
        <v>2.3385599999999998</v>
      </c>
      <c r="F27" s="387"/>
      <c r="G27" s="383"/>
      <c r="H27" s="387"/>
      <c r="I27" s="383"/>
      <c r="J27" s="568"/>
      <c r="K27" s="572"/>
      <c r="L27" s="79"/>
      <c r="M27" s="544"/>
      <c r="N27" s="544"/>
      <c r="O27" s="544"/>
      <c r="P27" s="544"/>
    </row>
    <row r="28" spans="1:16" s="214" customFormat="1">
      <c r="A28" s="343" t="s">
        <v>21</v>
      </c>
      <c r="B28" s="345" t="s">
        <v>140</v>
      </c>
      <c r="C28" s="343" t="s">
        <v>130</v>
      </c>
      <c r="D28" s="386">
        <f>D27</f>
        <v>1.0149999999999999</v>
      </c>
      <c r="E28" s="415">
        <f>D28*E25</f>
        <v>2.3385599999999998</v>
      </c>
      <c r="F28" s="387"/>
      <c r="G28" s="383"/>
      <c r="H28" s="387"/>
      <c r="I28" s="383"/>
      <c r="J28" s="568"/>
      <c r="K28" s="572"/>
      <c r="L28" s="79"/>
      <c r="M28" s="544"/>
      <c r="N28" s="544"/>
      <c r="O28" s="544"/>
      <c r="P28" s="544"/>
    </row>
    <row r="29" spans="1:16" s="214" customFormat="1">
      <c r="A29" s="343" t="s">
        <v>21</v>
      </c>
      <c r="B29" s="344" t="s">
        <v>132</v>
      </c>
      <c r="C29" s="343" t="s">
        <v>130</v>
      </c>
      <c r="D29" s="386">
        <v>1</v>
      </c>
      <c r="E29" s="414">
        <f>D29*E25</f>
        <v>2.3039999999999998</v>
      </c>
      <c r="F29" s="387"/>
      <c r="G29" s="387"/>
      <c r="H29" s="387"/>
      <c r="I29" s="387"/>
      <c r="J29" s="568"/>
      <c r="K29" s="572"/>
      <c r="L29" s="79"/>
      <c r="M29" s="544"/>
      <c r="N29" s="544"/>
      <c r="O29" s="544"/>
      <c r="P29" s="544"/>
    </row>
    <row r="30" spans="1:16" s="214" customFormat="1">
      <c r="A30" s="343" t="s">
        <v>21</v>
      </c>
      <c r="B30" s="344" t="s">
        <v>133</v>
      </c>
      <c r="C30" s="343" t="s">
        <v>134</v>
      </c>
      <c r="D30" s="386"/>
      <c r="E30" s="471">
        <f>E31+E32</f>
        <v>0.1112832</v>
      </c>
      <c r="F30" s="387"/>
      <c r="G30" s="387"/>
      <c r="H30" s="387"/>
      <c r="I30" s="387"/>
      <c r="J30" s="568"/>
      <c r="K30" s="572"/>
      <c r="L30" s="546"/>
      <c r="M30" s="544"/>
      <c r="N30" s="544"/>
      <c r="O30" s="544"/>
      <c r="P30" s="544"/>
    </row>
    <row r="31" spans="1:16" s="214" customFormat="1" ht="17">
      <c r="A31" s="343" t="s">
        <v>21</v>
      </c>
      <c r="B31" s="346" t="s">
        <v>146</v>
      </c>
      <c r="C31" s="343" t="s">
        <v>134</v>
      </c>
      <c r="D31" s="386">
        <v>1.05</v>
      </c>
      <c r="E31" s="414">
        <f>D31*E26*1.4/1000</f>
        <v>8.4671999999999994E-3</v>
      </c>
      <c r="F31" s="387"/>
      <c r="G31" s="387"/>
      <c r="H31" s="387"/>
      <c r="I31" s="387"/>
      <c r="J31" s="568"/>
      <c r="K31" s="572"/>
      <c r="L31" s="537"/>
      <c r="M31" s="544"/>
      <c r="N31" s="544"/>
      <c r="O31" s="544"/>
      <c r="P31" s="544"/>
    </row>
    <row r="32" spans="1:16" s="214" customFormat="1">
      <c r="A32" s="343" t="s">
        <v>21</v>
      </c>
      <c r="B32" s="346" t="s">
        <v>147</v>
      </c>
      <c r="C32" s="343" t="s">
        <v>134</v>
      </c>
      <c r="D32" s="386">
        <v>1.05</v>
      </c>
      <c r="E32" s="414">
        <f>D32*E26*17/1000</f>
        <v>0.102816</v>
      </c>
      <c r="F32" s="387"/>
      <c r="G32" s="387"/>
      <c r="H32" s="387"/>
      <c r="I32" s="387"/>
      <c r="J32" s="568"/>
      <c r="K32" s="572"/>
      <c r="L32" s="79"/>
      <c r="M32" s="544"/>
      <c r="N32" s="544"/>
      <c r="O32" s="544"/>
      <c r="P32" s="544"/>
    </row>
    <row r="33" spans="1:16" s="214" customFormat="1">
      <c r="A33" s="343"/>
      <c r="B33" s="346" t="s">
        <v>145</v>
      </c>
      <c r="C33" s="343" t="s">
        <v>130</v>
      </c>
      <c r="D33" s="386">
        <v>1</v>
      </c>
      <c r="E33" s="414">
        <f>D33*E25</f>
        <v>2.3039999999999998</v>
      </c>
      <c r="F33" s="387"/>
      <c r="G33" s="387"/>
      <c r="H33" s="387"/>
      <c r="I33" s="387"/>
      <c r="J33" s="568"/>
      <c r="K33" s="572"/>
      <c r="L33" s="79"/>
      <c r="M33" s="544"/>
      <c r="N33" s="544"/>
      <c r="O33" s="544"/>
      <c r="P33" s="544"/>
    </row>
    <row r="34" spans="1:16" s="342" customFormat="1" ht="29">
      <c r="A34" s="340">
        <f>A25+1</f>
        <v>15</v>
      </c>
      <c r="B34" s="341" t="s">
        <v>178</v>
      </c>
      <c r="C34" s="340" t="s">
        <v>130</v>
      </c>
      <c r="D34" s="380"/>
      <c r="E34" s="416">
        <f>2.4*2.5*4*0.2</f>
        <v>4.8000000000000007</v>
      </c>
      <c r="F34" s="388"/>
      <c r="G34" s="388"/>
      <c r="H34" s="388"/>
      <c r="I34" s="388"/>
      <c r="J34" s="568"/>
      <c r="K34" s="572"/>
      <c r="L34" s="573"/>
      <c r="M34" s="573"/>
      <c r="N34" s="573"/>
      <c r="O34" s="573"/>
      <c r="P34" s="573"/>
    </row>
    <row r="35" spans="1:16" s="214" customFormat="1">
      <c r="A35" s="343" t="s">
        <v>21</v>
      </c>
      <c r="B35" s="346" t="s">
        <v>4</v>
      </c>
      <c r="C35" s="343" t="s">
        <v>39</v>
      </c>
      <c r="D35" s="386">
        <v>1</v>
      </c>
      <c r="E35" s="416">
        <f>2.4*2.5*4</f>
        <v>24</v>
      </c>
      <c r="F35" s="387"/>
      <c r="G35" s="387"/>
      <c r="H35" s="387"/>
      <c r="I35" s="387"/>
      <c r="J35" s="568"/>
      <c r="K35" s="572"/>
      <c r="L35" s="79"/>
      <c r="M35" s="544"/>
      <c r="N35" s="544"/>
      <c r="O35" s="544"/>
      <c r="P35" s="544"/>
    </row>
    <row r="36" spans="1:16" s="214" customFormat="1">
      <c r="A36" s="343" t="s">
        <v>21</v>
      </c>
      <c r="B36" s="344" t="s">
        <v>131</v>
      </c>
      <c r="C36" s="343" t="s">
        <v>130</v>
      </c>
      <c r="D36" s="386">
        <v>1.0149999999999999</v>
      </c>
      <c r="E36" s="415">
        <f>D36*E34</f>
        <v>4.8719999999999999</v>
      </c>
      <c r="F36" s="387"/>
      <c r="G36" s="387"/>
      <c r="H36" s="387"/>
      <c r="I36" s="387"/>
      <c r="J36" s="568"/>
      <c r="K36" s="572"/>
      <c r="L36" s="79"/>
      <c r="M36" s="548"/>
      <c r="N36" s="544"/>
      <c r="O36" s="544"/>
      <c r="P36" s="544"/>
    </row>
    <row r="37" spans="1:16" s="214" customFormat="1">
      <c r="A37" s="343" t="s">
        <v>21</v>
      </c>
      <c r="B37" s="345" t="s">
        <v>140</v>
      </c>
      <c r="C37" s="343" t="s">
        <v>130</v>
      </c>
      <c r="D37" s="386">
        <f>D36</f>
        <v>1.0149999999999999</v>
      </c>
      <c r="E37" s="415">
        <f>D37*E34</f>
        <v>4.8719999999999999</v>
      </c>
      <c r="F37" s="387"/>
      <c r="G37" s="383"/>
      <c r="H37" s="387"/>
      <c r="I37" s="383"/>
      <c r="J37" s="568"/>
      <c r="K37" s="572"/>
      <c r="L37" s="79"/>
      <c r="M37" s="544"/>
      <c r="N37" s="544"/>
      <c r="O37" s="544"/>
      <c r="P37" s="544"/>
    </row>
    <row r="38" spans="1:16" s="214" customFormat="1">
      <c r="A38" s="343" t="s">
        <v>21</v>
      </c>
      <c r="B38" s="345" t="s">
        <v>132</v>
      </c>
      <c r="C38" s="343" t="s">
        <v>130</v>
      </c>
      <c r="D38" s="386">
        <v>1</v>
      </c>
      <c r="E38" s="414">
        <f>D38*E34</f>
        <v>4.8000000000000007</v>
      </c>
      <c r="F38" s="387"/>
      <c r="G38" s="387"/>
      <c r="H38" s="387"/>
      <c r="I38" s="383"/>
      <c r="J38" s="568"/>
      <c r="K38" s="572"/>
      <c r="L38" s="79"/>
      <c r="M38" s="544"/>
      <c r="N38" s="544"/>
      <c r="O38" s="544"/>
      <c r="P38" s="544"/>
    </row>
    <row r="39" spans="1:16" s="214" customFormat="1">
      <c r="A39" s="343" t="s">
        <v>21</v>
      </c>
      <c r="B39" s="344" t="s">
        <v>133</v>
      </c>
      <c r="C39" s="343" t="s">
        <v>134</v>
      </c>
      <c r="D39" s="386"/>
      <c r="E39" s="471">
        <f>E40+E41</f>
        <v>0.46368000000000004</v>
      </c>
      <c r="F39" s="387"/>
      <c r="G39" s="387"/>
      <c r="H39" s="387"/>
      <c r="I39" s="387"/>
      <c r="J39" s="568"/>
      <c r="K39" s="572"/>
      <c r="L39" s="546"/>
      <c r="M39" s="544"/>
      <c r="N39" s="544"/>
      <c r="O39" s="544"/>
      <c r="P39" s="544"/>
    </row>
    <row r="40" spans="1:16" s="214" customFormat="1" ht="17">
      <c r="A40" s="343" t="s">
        <v>21</v>
      </c>
      <c r="B40" s="344" t="s">
        <v>135</v>
      </c>
      <c r="C40" s="343" t="s">
        <v>134</v>
      </c>
      <c r="D40" s="386">
        <v>1.05</v>
      </c>
      <c r="E40" s="414">
        <f>D40*E35*1.4/1000</f>
        <v>3.5279999999999999E-2</v>
      </c>
      <c r="F40" s="387"/>
      <c r="G40" s="387"/>
      <c r="H40" s="387"/>
      <c r="I40" s="387"/>
      <c r="J40" s="568"/>
      <c r="K40" s="572"/>
      <c r="L40" s="537"/>
      <c r="M40" s="544"/>
      <c r="N40" s="544"/>
      <c r="O40" s="544"/>
      <c r="P40" s="544"/>
    </row>
    <row r="41" spans="1:16" s="214" customFormat="1">
      <c r="A41" s="343" t="s">
        <v>21</v>
      </c>
      <c r="B41" s="346" t="s">
        <v>136</v>
      </c>
      <c r="C41" s="343" t="s">
        <v>134</v>
      </c>
      <c r="D41" s="386">
        <v>1.05</v>
      </c>
      <c r="E41" s="414">
        <f>D41*E35*17/1000</f>
        <v>0.42840000000000006</v>
      </c>
      <c r="F41" s="387"/>
      <c r="G41" s="387"/>
      <c r="H41" s="387"/>
      <c r="I41" s="387"/>
      <c r="J41" s="568"/>
      <c r="K41" s="572"/>
      <c r="L41" s="79"/>
      <c r="M41" s="544"/>
      <c r="N41" s="544"/>
      <c r="O41" s="544"/>
      <c r="P41" s="544"/>
    </row>
    <row r="42" spans="1:16" s="214" customFormat="1">
      <c r="A42" s="343"/>
      <c r="B42" s="346" t="s">
        <v>145</v>
      </c>
      <c r="C42" s="343" t="s">
        <v>130</v>
      </c>
      <c r="D42" s="386">
        <v>1</v>
      </c>
      <c r="E42" s="414">
        <f>D42*E34</f>
        <v>4.8000000000000007</v>
      </c>
      <c r="F42" s="387"/>
      <c r="G42" s="387"/>
      <c r="H42" s="387"/>
      <c r="I42" s="387"/>
      <c r="J42" s="568"/>
      <c r="K42" s="572"/>
      <c r="L42" s="79"/>
      <c r="M42" s="544"/>
      <c r="N42" s="544"/>
      <c r="O42" s="544"/>
      <c r="P42" s="544"/>
    </row>
    <row r="43" spans="1:16" ht="57.75" customHeight="1">
      <c r="A43" s="348"/>
      <c r="B43" s="392" t="s">
        <v>186</v>
      </c>
      <c r="C43" s="348"/>
      <c r="D43" s="379"/>
      <c r="E43" s="409"/>
      <c r="F43" s="382"/>
      <c r="G43" s="382"/>
      <c r="H43" s="382"/>
      <c r="I43" s="382"/>
      <c r="J43" s="382"/>
      <c r="K43" s="575"/>
      <c r="L43" s="562"/>
      <c r="M43" s="562"/>
      <c r="N43" s="562"/>
      <c r="O43" s="562"/>
      <c r="P43" s="562"/>
    </row>
    <row r="44" spans="1:16" s="292" customFormat="1" ht="37.5" customHeight="1">
      <c r="A44" s="359">
        <f>A34+1</f>
        <v>16</v>
      </c>
      <c r="B44" s="360" t="s">
        <v>251</v>
      </c>
      <c r="C44" s="361" t="s">
        <v>189</v>
      </c>
      <c r="D44" s="378"/>
      <c r="E44" s="408">
        <v>2</v>
      </c>
      <c r="F44" s="382"/>
      <c r="G44" s="382"/>
      <c r="H44" s="382"/>
      <c r="I44" s="402"/>
      <c r="J44" s="382"/>
      <c r="K44" s="576"/>
      <c r="L44" s="566"/>
      <c r="M44" s="566"/>
      <c r="N44" s="566"/>
      <c r="O44" s="566"/>
      <c r="P44" s="566"/>
    </row>
    <row r="45" spans="1:16" s="292" customFormat="1" ht="30.75" customHeight="1">
      <c r="A45" s="352">
        <f>A44+1</f>
        <v>17</v>
      </c>
      <c r="B45" s="360" t="s">
        <v>182</v>
      </c>
      <c r="C45" s="356" t="s">
        <v>188</v>
      </c>
      <c r="D45" s="378"/>
      <c r="E45" s="408">
        <v>2</v>
      </c>
      <c r="F45" s="402"/>
      <c r="G45" s="402"/>
      <c r="H45" s="402"/>
      <c r="I45" s="402"/>
      <c r="J45" s="382"/>
      <c r="K45" s="566"/>
      <c r="L45" s="566"/>
      <c r="M45" s="566"/>
      <c r="N45" s="566"/>
      <c r="O45" s="566"/>
      <c r="P45" s="566"/>
    </row>
    <row r="46" spans="1:16" s="292" customFormat="1" ht="30.75" customHeight="1">
      <c r="A46" s="352">
        <f t="shared" ref="A46:A50" si="1">A45+1</f>
        <v>18</v>
      </c>
      <c r="B46" s="360" t="s">
        <v>183</v>
      </c>
      <c r="C46" s="356" t="s">
        <v>188</v>
      </c>
      <c r="D46" s="378"/>
      <c r="E46" s="408">
        <v>2</v>
      </c>
      <c r="F46" s="402"/>
      <c r="G46" s="402"/>
      <c r="H46" s="402"/>
      <c r="I46" s="402"/>
      <c r="J46" s="382"/>
      <c r="K46" s="566"/>
      <c r="L46" s="566"/>
      <c r="M46" s="566"/>
      <c r="N46" s="566"/>
      <c r="O46" s="566"/>
      <c r="P46" s="566"/>
    </row>
    <row r="47" spans="1:16" s="292" customFormat="1" ht="30.75" customHeight="1">
      <c r="A47" s="352">
        <f t="shared" si="1"/>
        <v>19</v>
      </c>
      <c r="B47" s="360" t="s">
        <v>184</v>
      </c>
      <c r="C47" s="356" t="s">
        <v>124</v>
      </c>
      <c r="D47" s="378"/>
      <c r="E47" s="408">
        <v>10</v>
      </c>
      <c r="F47" s="402"/>
      <c r="G47" s="402"/>
      <c r="H47" s="402"/>
      <c r="I47" s="402"/>
      <c r="J47" s="382"/>
      <c r="K47" s="566"/>
      <c r="L47" s="566"/>
      <c r="M47" s="566"/>
      <c r="N47" s="566"/>
      <c r="O47" s="566"/>
      <c r="P47" s="566"/>
    </row>
    <row r="48" spans="1:16" s="292" customFormat="1" ht="30.75" customHeight="1">
      <c r="A48" s="352">
        <f t="shared" si="1"/>
        <v>20</v>
      </c>
      <c r="B48" s="360" t="s">
        <v>204</v>
      </c>
      <c r="C48" s="356" t="s">
        <v>187</v>
      </c>
      <c r="D48" s="378"/>
      <c r="E48" s="408">
        <v>10</v>
      </c>
      <c r="F48" s="402"/>
      <c r="G48" s="402"/>
      <c r="H48" s="402"/>
      <c r="I48" s="402"/>
      <c r="J48" s="382"/>
      <c r="K48" s="566"/>
      <c r="L48" s="566"/>
      <c r="M48" s="566"/>
      <c r="N48" s="566"/>
      <c r="O48" s="566"/>
      <c r="P48" s="566"/>
    </row>
    <row r="49" spans="1:16" s="292" customFormat="1" ht="30.75" customHeight="1">
      <c r="A49" s="352">
        <f t="shared" si="1"/>
        <v>21</v>
      </c>
      <c r="B49" s="360" t="s">
        <v>185</v>
      </c>
      <c r="C49" s="356" t="s">
        <v>174</v>
      </c>
      <c r="D49" s="378"/>
      <c r="E49" s="408">
        <v>1</v>
      </c>
      <c r="F49" s="402"/>
      <c r="G49" s="402"/>
      <c r="H49" s="402"/>
      <c r="I49" s="402"/>
      <c r="J49" s="382"/>
      <c r="K49" s="566"/>
      <c r="L49" s="566"/>
      <c r="M49" s="566"/>
      <c r="N49" s="566"/>
      <c r="O49" s="566"/>
      <c r="P49" s="566"/>
    </row>
    <row r="50" spans="1:16" ht="39.75" customHeight="1">
      <c r="A50" s="352">
        <f t="shared" si="1"/>
        <v>22</v>
      </c>
      <c r="B50" s="360" t="s">
        <v>190</v>
      </c>
      <c r="C50" s="362" t="s">
        <v>174</v>
      </c>
      <c r="D50" s="381"/>
      <c r="E50" s="417">
        <v>1</v>
      </c>
      <c r="F50" s="403"/>
      <c r="G50" s="403"/>
      <c r="H50" s="403"/>
      <c r="I50" s="403"/>
      <c r="J50" s="403"/>
      <c r="K50" s="562"/>
      <c r="L50" s="562"/>
      <c r="M50" s="562"/>
      <c r="N50" s="562"/>
      <c r="O50" s="562"/>
      <c r="P50" s="562"/>
    </row>
    <row r="51" spans="1:16" ht="34.5" customHeight="1">
      <c r="A51" s="363"/>
      <c r="B51" s="364" t="s">
        <v>59</v>
      </c>
      <c r="C51" s="364" t="s">
        <v>65</v>
      </c>
      <c r="D51" s="389"/>
      <c r="E51" s="418"/>
      <c r="F51" s="388"/>
      <c r="G51" s="388"/>
      <c r="H51" s="388"/>
      <c r="I51" s="388"/>
      <c r="J51" s="388"/>
      <c r="K51" s="562"/>
      <c r="L51" s="562"/>
      <c r="M51" s="562"/>
      <c r="N51" s="562"/>
      <c r="O51" s="562"/>
      <c r="P51" s="562"/>
    </row>
    <row r="52" spans="1:16" ht="34.5" customHeight="1">
      <c r="A52" s="365"/>
      <c r="B52" s="366" t="s">
        <v>60</v>
      </c>
      <c r="C52" s="368"/>
      <c r="D52" s="390"/>
      <c r="E52" s="419"/>
      <c r="F52" s="577"/>
      <c r="G52" s="577"/>
      <c r="H52" s="577"/>
      <c r="I52" s="577"/>
      <c r="J52" s="577"/>
      <c r="K52" s="562"/>
      <c r="L52" s="562"/>
      <c r="M52" s="562"/>
      <c r="N52" s="562"/>
      <c r="O52" s="562"/>
      <c r="P52" s="562"/>
    </row>
    <row r="53" spans="1:16" s="293" customFormat="1" ht="34.5" customHeight="1">
      <c r="A53" s="363"/>
      <c r="B53" s="364" t="s">
        <v>59</v>
      </c>
      <c r="C53" s="364" t="s">
        <v>65</v>
      </c>
      <c r="D53" s="389"/>
      <c r="E53" s="418"/>
      <c r="F53" s="388"/>
      <c r="G53" s="388"/>
      <c r="H53" s="388"/>
      <c r="I53" s="388"/>
      <c r="J53" s="388"/>
      <c r="K53" s="578"/>
      <c r="L53" s="579"/>
      <c r="M53" s="579"/>
      <c r="N53" s="579"/>
      <c r="O53" s="579"/>
      <c r="P53" s="579"/>
    </row>
    <row r="54" spans="1:16" s="294" customFormat="1" ht="34.5" customHeight="1">
      <c r="A54" s="367"/>
      <c r="B54" s="367" t="s">
        <v>61</v>
      </c>
      <c r="C54" s="369"/>
      <c r="D54" s="390"/>
      <c r="E54" s="419"/>
      <c r="F54" s="577"/>
      <c r="G54" s="577"/>
      <c r="H54" s="577"/>
      <c r="I54" s="577"/>
      <c r="J54" s="577"/>
      <c r="K54" s="578"/>
      <c r="L54" s="580"/>
      <c r="M54" s="580"/>
      <c r="N54" s="580"/>
      <c r="O54" s="580"/>
      <c r="P54" s="580"/>
    </row>
    <row r="55" spans="1:16" s="294" customFormat="1" ht="34.5" customHeight="1">
      <c r="A55" s="363"/>
      <c r="B55" s="364" t="s">
        <v>59</v>
      </c>
      <c r="C55" s="364" t="s">
        <v>65</v>
      </c>
      <c r="D55" s="389"/>
      <c r="E55" s="418"/>
      <c r="F55" s="388"/>
      <c r="G55" s="388"/>
      <c r="H55" s="388"/>
      <c r="I55" s="388"/>
      <c r="J55" s="388"/>
      <c r="K55" s="578"/>
      <c r="L55" s="580"/>
      <c r="M55" s="580"/>
      <c r="N55" s="580"/>
      <c r="O55" s="580"/>
      <c r="P55" s="580"/>
    </row>
    <row r="56" spans="1:16" s="294" customFormat="1" ht="34.5" customHeight="1">
      <c r="A56" s="367"/>
      <c r="B56" s="367" t="s">
        <v>62</v>
      </c>
      <c r="C56" s="369"/>
      <c r="D56" s="390"/>
      <c r="E56" s="419"/>
      <c r="F56" s="577"/>
      <c r="G56" s="577"/>
      <c r="H56" s="577"/>
      <c r="I56" s="577"/>
      <c r="J56" s="577"/>
      <c r="K56" s="578"/>
      <c r="L56" s="580"/>
      <c r="M56" s="580"/>
      <c r="N56" s="580"/>
      <c r="O56" s="580"/>
      <c r="P56" s="580"/>
    </row>
    <row r="57" spans="1:16" s="294" customFormat="1" ht="34.5" customHeight="1">
      <c r="A57" s="363"/>
      <c r="B57" s="364" t="s">
        <v>59</v>
      </c>
      <c r="C57" s="364" t="s">
        <v>65</v>
      </c>
      <c r="D57" s="389"/>
      <c r="E57" s="418"/>
      <c r="F57" s="388"/>
      <c r="G57" s="388"/>
      <c r="H57" s="388"/>
      <c r="I57" s="388"/>
      <c r="J57" s="388"/>
      <c r="K57" s="578"/>
      <c r="L57" s="580"/>
      <c r="M57" s="580"/>
      <c r="N57" s="580"/>
      <c r="O57" s="580"/>
      <c r="P57" s="580"/>
    </row>
    <row r="58" spans="1:16" ht="34.5" customHeight="1">
      <c r="A58" s="367"/>
      <c r="B58" s="367" t="s">
        <v>63</v>
      </c>
      <c r="C58" s="369"/>
      <c r="D58" s="391"/>
      <c r="E58" s="420"/>
      <c r="F58" s="577"/>
      <c r="G58" s="577"/>
      <c r="H58" s="577"/>
      <c r="I58" s="577"/>
      <c r="J58" s="577"/>
      <c r="K58" s="562"/>
      <c r="L58" s="562"/>
      <c r="M58" s="562"/>
      <c r="N58" s="562"/>
      <c r="O58" s="562"/>
      <c r="P58" s="562"/>
    </row>
    <row r="59" spans="1:16" ht="34.5" customHeight="1">
      <c r="A59" s="363"/>
      <c r="B59" s="364" t="s">
        <v>64</v>
      </c>
      <c r="C59" s="364" t="s">
        <v>65</v>
      </c>
      <c r="D59" s="389"/>
      <c r="E59" s="418"/>
      <c r="F59" s="388"/>
      <c r="G59" s="388"/>
      <c r="H59" s="388"/>
      <c r="I59" s="388"/>
      <c r="J59" s="388"/>
      <c r="K59" s="562"/>
      <c r="L59" s="562"/>
      <c r="M59" s="562"/>
      <c r="N59" s="562"/>
      <c r="O59" s="562"/>
      <c r="P59" s="562"/>
    </row>
    <row r="62" spans="1:16">
      <c r="J62" s="421">
        <v>155965.58123351046</v>
      </c>
      <c r="K62" s="470" t="s">
        <v>254</v>
      </c>
    </row>
  </sheetData>
  <mergeCells count="12">
    <mergeCell ref="A1:J1"/>
    <mergeCell ref="A2:J2"/>
    <mergeCell ref="A3:J3"/>
    <mergeCell ref="A4:J4"/>
    <mergeCell ref="F6:G6"/>
    <mergeCell ref="H6:I6"/>
    <mergeCell ref="J6:J7"/>
    <mergeCell ref="A6:A7"/>
    <mergeCell ref="B6:B7"/>
    <mergeCell ref="C6:C7"/>
    <mergeCell ref="D6:D7"/>
    <mergeCell ref="E6:E7"/>
  </mergeCells>
  <pageMargins left="0.23622047244094491" right="0.23622047244094491" top="0.55118110236220474" bottom="0.55118110236220474" header="0.31496062992125984" footer="0.31496062992125984"/>
  <pageSetup paperSize="9" scale="6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8CD4D-C513-411C-BDED-8CF94911FE40}">
  <dimension ref="B1:L41"/>
  <sheetViews>
    <sheetView view="pageLayout" zoomScale="94" zoomScaleNormal="100" zoomScaleSheetLayoutView="100" zoomScalePageLayoutView="94" workbookViewId="0">
      <selection activeCell="F37" sqref="F37"/>
    </sheetView>
  </sheetViews>
  <sheetFormatPr defaultColWidth="7.54296875" defaultRowHeight="12.5"/>
  <cols>
    <col min="1" max="1" width="2.26953125" style="423" customWidth="1"/>
    <col min="2" max="2" width="5.1796875" style="423" customWidth="1"/>
    <col min="3" max="3" width="50.1796875" style="423" customWidth="1"/>
    <col min="4" max="8" width="12" style="423" customWidth="1"/>
    <col min="9" max="9" width="14.1796875" style="423" customWidth="1"/>
    <col min="10" max="10" width="20.81640625" style="423" customWidth="1"/>
    <col min="11" max="11" width="7.81640625" style="423" bestFit="1" customWidth="1"/>
    <col min="12" max="16384" width="7.54296875" style="423"/>
  </cols>
  <sheetData>
    <row r="1" spans="2:12">
      <c r="B1" s="422"/>
    </row>
    <row r="2" spans="2:12">
      <c r="B2" s="422"/>
    </row>
    <row r="4" spans="2:12" ht="15" customHeight="1"/>
    <row r="5" spans="2:12" ht="24.65" customHeight="1">
      <c r="B5" s="424" t="s">
        <v>205</v>
      </c>
    </row>
    <row r="6" spans="2:12" ht="16.149999999999999" customHeight="1">
      <c r="B6" s="425"/>
    </row>
    <row r="7" spans="2:12" ht="15" customHeight="1">
      <c r="B7" s="426"/>
    </row>
    <row r="8" spans="2:12" ht="16.5" customHeight="1">
      <c r="B8" s="427" t="s">
        <v>206</v>
      </c>
    </row>
    <row r="9" spans="2:12" ht="15" customHeight="1">
      <c r="B9" s="426"/>
    </row>
    <row r="10" spans="2:12" ht="15" customHeight="1" thickBot="1"/>
    <row r="11" spans="2:12" ht="22.9" customHeight="1" thickBot="1">
      <c r="B11" s="428" t="s">
        <v>170</v>
      </c>
      <c r="C11" s="429" t="s">
        <v>84</v>
      </c>
      <c r="D11" s="429" t="s">
        <v>207</v>
      </c>
      <c r="E11" s="429" t="s">
        <v>208</v>
      </c>
      <c r="F11" s="429" t="s">
        <v>209</v>
      </c>
      <c r="G11" s="429" t="s">
        <v>3</v>
      </c>
      <c r="H11" s="429" t="s">
        <v>210</v>
      </c>
      <c r="I11" s="430" t="s">
        <v>211</v>
      </c>
    </row>
    <row r="12" spans="2:12" ht="46.15" customHeight="1">
      <c r="B12" s="431">
        <v>1</v>
      </c>
      <c r="C12" s="432" t="s">
        <v>212</v>
      </c>
      <c r="D12" s="433" t="s">
        <v>213</v>
      </c>
      <c r="E12" s="433" t="s">
        <v>214</v>
      </c>
      <c r="F12" s="433">
        <v>1</v>
      </c>
      <c r="G12" s="434"/>
      <c r="H12" s="434"/>
      <c r="I12" s="435"/>
      <c r="K12" s="436"/>
      <c r="L12" s="436"/>
    </row>
    <row r="13" spans="2:12" ht="19.149999999999999" customHeight="1">
      <c r="B13" s="437">
        <v>2</v>
      </c>
      <c r="C13" s="438" t="s">
        <v>215</v>
      </c>
      <c r="D13" s="439"/>
      <c r="E13" s="439" t="s">
        <v>214</v>
      </c>
      <c r="F13" s="439">
        <v>1</v>
      </c>
      <c r="G13" s="440"/>
      <c r="H13" s="440"/>
      <c r="I13" s="441"/>
      <c r="K13" s="436"/>
      <c r="L13" s="436"/>
    </row>
    <row r="14" spans="2:12" ht="19.149999999999999" customHeight="1">
      <c r="B14" s="437">
        <v>3</v>
      </c>
      <c r="C14" s="438" t="s">
        <v>216</v>
      </c>
      <c r="D14" s="439" t="s">
        <v>217</v>
      </c>
      <c r="E14" s="439" t="s">
        <v>218</v>
      </c>
      <c r="F14" s="439">
        <v>2</v>
      </c>
      <c r="G14" s="440"/>
      <c r="H14" s="440"/>
      <c r="I14" s="441"/>
      <c r="K14" s="436"/>
      <c r="L14" s="436"/>
    </row>
    <row r="15" spans="2:12" ht="19.149999999999999" customHeight="1">
      <c r="B15" s="437">
        <v>4</v>
      </c>
      <c r="C15" s="438" t="s">
        <v>219</v>
      </c>
      <c r="D15" s="439" t="s">
        <v>217</v>
      </c>
      <c r="E15" s="439" t="s">
        <v>218</v>
      </c>
      <c r="F15" s="439">
        <v>2</v>
      </c>
      <c r="G15" s="440"/>
      <c r="H15" s="440"/>
      <c r="I15" s="441"/>
      <c r="K15" s="436"/>
      <c r="L15" s="436"/>
    </row>
    <row r="16" spans="2:12" ht="19.149999999999999" customHeight="1">
      <c r="B16" s="437">
        <v>5</v>
      </c>
      <c r="C16" s="438" t="s">
        <v>220</v>
      </c>
      <c r="D16" s="439" t="s">
        <v>217</v>
      </c>
      <c r="E16" s="439" t="s">
        <v>218</v>
      </c>
      <c r="F16" s="439">
        <v>9</v>
      </c>
      <c r="G16" s="440"/>
      <c r="H16" s="440"/>
      <c r="I16" s="441"/>
      <c r="K16" s="436"/>
      <c r="L16" s="436"/>
    </row>
    <row r="17" spans="2:12" ht="19.149999999999999" customHeight="1">
      <c r="B17" s="437">
        <v>6</v>
      </c>
      <c r="C17" s="438" t="s">
        <v>221</v>
      </c>
      <c r="D17" s="439" t="s">
        <v>217</v>
      </c>
      <c r="E17" s="439" t="s">
        <v>218</v>
      </c>
      <c r="F17" s="439">
        <v>18</v>
      </c>
      <c r="G17" s="440"/>
      <c r="H17" s="440"/>
      <c r="I17" s="441"/>
      <c r="K17" s="436"/>
      <c r="L17" s="436"/>
    </row>
    <row r="18" spans="2:12" ht="19.149999999999999" customHeight="1">
      <c r="B18" s="437">
        <v>7</v>
      </c>
      <c r="C18" s="438" t="s">
        <v>222</v>
      </c>
      <c r="D18" s="439" t="s">
        <v>217</v>
      </c>
      <c r="E18" s="439" t="s">
        <v>218</v>
      </c>
      <c r="F18" s="439">
        <v>2</v>
      </c>
      <c r="G18" s="440"/>
      <c r="H18" s="440"/>
      <c r="I18" s="441"/>
      <c r="K18" s="436"/>
      <c r="L18" s="436"/>
    </row>
    <row r="19" spans="2:12" ht="19.149999999999999" customHeight="1">
      <c r="B19" s="437"/>
      <c r="C19" s="442" t="s">
        <v>223</v>
      </c>
      <c r="D19" s="439"/>
      <c r="E19" s="439"/>
      <c r="F19" s="439"/>
      <c r="G19" s="440"/>
      <c r="H19" s="440"/>
      <c r="I19" s="441"/>
      <c r="K19" s="436"/>
      <c r="L19" s="436"/>
    </row>
    <row r="20" spans="2:12" ht="19.149999999999999" customHeight="1">
      <c r="B20" s="437">
        <v>8</v>
      </c>
      <c r="C20" s="438" t="s">
        <v>224</v>
      </c>
      <c r="D20" s="439" t="s">
        <v>225</v>
      </c>
      <c r="E20" s="439" t="s">
        <v>81</v>
      </c>
      <c r="F20" s="439">
        <v>12</v>
      </c>
      <c r="G20" s="440"/>
      <c r="H20" s="440"/>
      <c r="I20" s="441"/>
      <c r="K20" s="436"/>
      <c r="L20" s="436"/>
    </row>
    <row r="21" spans="2:12" ht="19.149999999999999" customHeight="1">
      <c r="B21" s="437">
        <v>9</v>
      </c>
      <c r="C21" s="438" t="s">
        <v>226</v>
      </c>
      <c r="D21" s="439" t="s">
        <v>225</v>
      </c>
      <c r="E21" s="439" t="s">
        <v>81</v>
      </c>
      <c r="F21" s="439">
        <v>200</v>
      </c>
      <c r="G21" s="440"/>
      <c r="H21" s="440"/>
      <c r="I21" s="441"/>
      <c r="K21" s="436"/>
      <c r="L21" s="436"/>
    </row>
    <row r="22" spans="2:12" ht="19.149999999999999" customHeight="1">
      <c r="B22" s="437">
        <v>10</v>
      </c>
      <c r="C22" s="438" t="s">
        <v>227</v>
      </c>
      <c r="D22" s="439" t="s">
        <v>225</v>
      </c>
      <c r="E22" s="439" t="s">
        <v>81</v>
      </c>
      <c r="F22" s="439">
        <v>85</v>
      </c>
      <c r="G22" s="440"/>
      <c r="H22" s="440"/>
      <c r="I22" s="441"/>
      <c r="K22" s="436"/>
      <c r="L22" s="436"/>
    </row>
    <row r="23" spans="2:12" ht="19.149999999999999" customHeight="1">
      <c r="B23" s="437">
        <v>11</v>
      </c>
      <c r="C23" s="438" t="s">
        <v>228</v>
      </c>
      <c r="D23" s="439" t="s">
        <v>225</v>
      </c>
      <c r="E23" s="439" t="s">
        <v>81</v>
      </c>
      <c r="F23" s="439">
        <v>30</v>
      </c>
      <c r="G23" s="440"/>
      <c r="H23" s="440"/>
      <c r="I23" s="441"/>
      <c r="K23" s="436"/>
      <c r="L23" s="436"/>
    </row>
    <row r="24" spans="2:12" ht="19.149999999999999" customHeight="1">
      <c r="B24" s="437">
        <v>12</v>
      </c>
      <c r="C24" s="438" t="s">
        <v>229</v>
      </c>
      <c r="D24" s="439" t="s">
        <v>225</v>
      </c>
      <c r="E24" s="439" t="s">
        <v>81</v>
      </c>
      <c r="F24" s="439">
        <v>350</v>
      </c>
      <c r="G24" s="440"/>
      <c r="H24" s="440"/>
      <c r="I24" s="441"/>
      <c r="K24" s="436"/>
      <c r="L24" s="436"/>
    </row>
    <row r="25" spans="2:12" ht="19.149999999999999" customHeight="1">
      <c r="B25" s="437">
        <v>13</v>
      </c>
      <c r="C25" s="438" t="s">
        <v>230</v>
      </c>
      <c r="D25" s="439"/>
      <c r="E25" s="439" t="s">
        <v>81</v>
      </c>
      <c r="F25" s="439">
        <v>18</v>
      </c>
      <c r="G25" s="440"/>
      <c r="H25" s="440"/>
      <c r="I25" s="441"/>
      <c r="K25" s="436"/>
      <c r="L25" s="436"/>
    </row>
    <row r="26" spans="2:12" ht="19.149999999999999" customHeight="1">
      <c r="B26" s="437">
        <v>14</v>
      </c>
      <c r="C26" s="438" t="s">
        <v>231</v>
      </c>
      <c r="D26" s="439"/>
      <c r="E26" s="439" t="s">
        <v>218</v>
      </c>
      <c r="F26" s="439">
        <v>6</v>
      </c>
      <c r="G26" s="440"/>
      <c r="H26" s="440"/>
      <c r="I26" s="441"/>
      <c r="K26" s="436"/>
      <c r="L26" s="436"/>
    </row>
    <row r="27" spans="2:12" ht="19.149999999999999" customHeight="1">
      <c r="B27" s="437">
        <v>15</v>
      </c>
      <c r="C27" s="438" t="s">
        <v>232</v>
      </c>
      <c r="D27" s="439"/>
      <c r="E27" s="439" t="s">
        <v>218</v>
      </c>
      <c r="F27" s="439">
        <v>9</v>
      </c>
      <c r="G27" s="440"/>
      <c r="H27" s="440"/>
      <c r="I27" s="441"/>
      <c r="K27" s="436"/>
      <c r="L27" s="436"/>
    </row>
    <row r="28" spans="2:12" ht="19.149999999999999" customHeight="1">
      <c r="B28" s="437"/>
      <c r="C28" s="442" t="s">
        <v>233</v>
      </c>
      <c r="D28" s="439"/>
      <c r="E28" s="439"/>
      <c r="F28" s="439"/>
      <c r="G28" s="440"/>
      <c r="H28" s="440"/>
      <c r="I28" s="441"/>
      <c r="K28" s="436"/>
      <c r="L28" s="436"/>
    </row>
    <row r="29" spans="2:12" ht="19.149999999999999" customHeight="1">
      <c r="B29" s="437">
        <v>16</v>
      </c>
      <c r="C29" s="438" t="s">
        <v>234</v>
      </c>
      <c r="D29" s="439" t="s">
        <v>235</v>
      </c>
      <c r="E29" s="439" t="s">
        <v>218</v>
      </c>
      <c r="F29" s="439">
        <v>1</v>
      </c>
      <c r="G29" s="440"/>
      <c r="H29" s="440"/>
      <c r="I29" s="441"/>
      <c r="K29" s="436"/>
      <c r="L29" s="436"/>
    </row>
    <row r="30" spans="2:12" ht="19.149999999999999" customHeight="1">
      <c r="B30" s="437">
        <v>17</v>
      </c>
      <c r="C30" s="438" t="s">
        <v>236</v>
      </c>
      <c r="D30" s="439" t="s">
        <v>235</v>
      </c>
      <c r="E30" s="439" t="s">
        <v>218</v>
      </c>
      <c r="F30" s="439">
        <v>54</v>
      </c>
      <c r="G30" s="440"/>
      <c r="H30" s="440"/>
      <c r="I30" s="441"/>
      <c r="K30" s="436"/>
      <c r="L30" s="436"/>
    </row>
    <row r="31" spans="2:12" ht="19.149999999999999" customHeight="1">
      <c r="B31" s="437">
        <v>18</v>
      </c>
      <c r="C31" s="438" t="s">
        <v>237</v>
      </c>
      <c r="D31" s="439" t="s">
        <v>235</v>
      </c>
      <c r="E31" s="439" t="s">
        <v>218</v>
      </c>
      <c r="F31" s="439">
        <v>8</v>
      </c>
      <c r="G31" s="440"/>
      <c r="H31" s="440"/>
      <c r="I31" s="441"/>
      <c r="K31" s="436"/>
      <c r="L31" s="436"/>
    </row>
    <row r="32" spans="2:12" ht="19.149999999999999" customHeight="1" thickBot="1">
      <c r="B32" s="437">
        <v>19</v>
      </c>
      <c r="C32" s="438" t="s">
        <v>238</v>
      </c>
      <c r="D32" s="439"/>
      <c r="E32" s="439" t="s">
        <v>239</v>
      </c>
      <c r="F32" s="439">
        <v>0.4</v>
      </c>
      <c r="G32" s="440"/>
      <c r="H32" s="440"/>
      <c r="I32" s="441"/>
      <c r="K32" s="436"/>
      <c r="L32" s="436"/>
    </row>
    <row r="33" spans="2:9" ht="19.5" customHeight="1">
      <c r="B33" s="498" t="s">
        <v>240</v>
      </c>
      <c r="C33" s="499"/>
      <c r="D33" s="499"/>
      <c r="E33" s="499"/>
      <c r="F33" s="499"/>
      <c r="G33" s="499"/>
      <c r="H33" s="499"/>
      <c r="I33" s="443">
        <f>SUM(I12:I32)</f>
        <v>0</v>
      </c>
    </row>
    <row r="34" spans="2:9" ht="18.649999999999999" customHeight="1">
      <c r="B34" s="500"/>
      <c r="C34" s="501"/>
      <c r="D34" s="501"/>
      <c r="E34" s="501"/>
      <c r="F34" s="501"/>
      <c r="G34" s="501"/>
      <c r="H34" s="501"/>
      <c r="I34" s="502"/>
    </row>
    <row r="35" spans="2:9" ht="18.649999999999999" customHeight="1">
      <c r="B35" s="490" t="s">
        <v>241</v>
      </c>
      <c r="C35" s="491"/>
      <c r="D35" s="491"/>
      <c r="E35" s="491"/>
      <c r="F35" s="444"/>
      <c r="G35" s="503">
        <f>I33*F35</f>
        <v>0</v>
      </c>
      <c r="H35" s="504"/>
      <c r="I35" s="505"/>
    </row>
    <row r="36" spans="2:9" ht="18.649999999999999" customHeight="1">
      <c r="B36" s="487"/>
      <c r="C36" s="488"/>
      <c r="D36" s="488"/>
      <c r="E36" s="488"/>
      <c r="F36" s="488"/>
      <c r="G36" s="488"/>
      <c r="H36" s="488"/>
      <c r="I36" s="489"/>
    </row>
    <row r="37" spans="2:9" ht="18.649999999999999" customHeight="1">
      <c r="B37" s="490" t="s">
        <v>242</v>
      </c>
      <c r="C37" s="491"/>
      <c r="D37" s="491"/>
      <c r="E37" s="491"/>
      <c r="F37" s="444"/>
      <c r="G37" s="492">
        <f>(G35+I33)*F37</f>
        <v>0</v>
      </c>
      <c r="H37" s="493"/>
      <c r="I37" s="494"/>
    </row>
    <row r="38" spans="2:9" ht="18.649999999999999" customHeight="1">
      <c r="B38" s="487"/>
      <c r="C38" s="488"/>
      <c r="D38" s="488"/>
      <c r="E38" s="488"/>
      <c r="F38" s="488"/>
      <c r="G38" s="488"/>
      <c r="H38" s="488"/>
      <c r="I38" s="489"/>
    </row>
    <row r="39" spans="2:9" ht="18.649999999999999" customHeight="1">
      <c r="B39" s="490" t="s">
        <v>243</v>
      </c>
      <c r="C39" s="491"/>
      <c r="D39" s="491"/>
      <c r="E39" s="491"/>
      <c r="F39" s="444"/>
      <c r="G39" s="492">
        <f>(G37+G35+I33)*F39</f>
        <v>0</v>
      </c>
      <c r="H39" s="493"/>
      <c r="I39" s="494"/>
    </row>
    <row r="40" spans="2:9" ht="18.649999999999999" customHeight="1" thickBot="1">
      <c r="B40" s="495"/>
      <c r="C40" s="496"/>
      <c r="D40" s="496"/>
      <c r="E40" s="496"/>
      <c r="F40" s="496"/>
      <c r="G40" s="496"/>
      <c r="H40" s="496"/>
      <c r="I40" s="497"/>
    </row>
    <row r="41" spans="2:9" ht="18.649999999999999" customHeight="1">
      <c r="B41" s="445" t="s">
        <v>244</v>
      </c>
      <c r="I41" s="446">
        <f>G39+G37+G35+I33</f>
        <v>0</v>
      </c>
    </row>
  </sheetData>
  <mergeCells count="11">
    <mergeCell ref="B38:I38"/>
    <mergeCell ref="B39:E39"/>
    <mergeCell ref="G39:I39"/>
    <mergeCell ref="B40:I40"/>
    <mergeCell ref="B33:H33"/>
    <mergeCell ref="B34:I34"/>
    <mergeCell ref="B35:E35"/>
    <mergeCell ref="G35:I35"/>
    <mergeCell ref="B36:I36"/>
    <mergeCell ref="B37:E37"/>
    <mergeCell ref="G37:I37"/>
  </mergeCells>
  <pageMargins left="0.16444444444444445" right="0.53649999999999998" top="0.15416666666666667" bottom="0.5344444444444445" header="0.3" footer="0.3"/>
  <pageSetup scale="72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98090-7E6A-4E12-9A40-60A87884B5EA}">
  <dimension ref="A1:C101"/>
  <sheetViews>
    <sheetView workbookViewId="0">
      <selection activeCell="E11" sqref="E11"/>
    </sheetView>
  </sheetViews>
  <sheetFormatPr defaultColWidth="16.453125" defaultRowHeight="15" customHeight="1"/>
  <cols>
    <col min="1" max="1" width="10.1796875" style="160" customWidth="1"/>
    <col min="2" max="2" width="63.54296875" style="160" customWidth="1"/>
    <col min="3" max="3" width="42.453125" style="160" customWidth="1"/>
    <col min="4" max="11" width="10" style="160" customWidth="1"/>
    <col min="12" max="16384" width="16.453125" style="160"/>
  </cols>
  <sheetData>
    <row r="1" spans="1:3" ht="14.25" customHeight="1">
      <c r="A1" s="159"/>
    </row>
    <row r="2" spans="1:3" ht="40.5" customHeight="1">
      <c r="A2" s="506" t="s">
        <v>109</v>
      </c>
      <c r="B2" s="507"/>
      <c r="C2" s="507"/>
    </row>
    <row r="3" spans="1:3" ht="14.25" customHeight="1">
      <c r="A3" s="161"/>
    </row>
    <row r="4" spans="1:3" s="163" customFormat="1" ht="51.75" customHeight="1">
      <c r="A4" s="162" t="s">
        <v>97</v>
      </c>
      <c r="B4" s="162" t="s">
        <v>98</v>
      </c>
      <c r="C4" s="162" t="s">
        <v>3</v>
      </c>
    </row>
    <row r="5" spans="1:3" ht="29.25" customHeight="1">
      <c r="A5" s="162">
        <v>1</v>
      </c>
      <c r="B5" s="164" t="s">
        <v>99</v>
      </c>
      <c r="C5" s="169" t="s">
        <v>100</v>
      </c>
    </row>
    <row r="6" spans="1:3" ht="29.25" customHeight="1">
      <c r="A6" s="162">
        <v>2</v>
      </c>
      <c r="B6" s="164" t="s">
        <v>101</v>
      </c>
      <c r="C6" s="164" t="s">
        <v>102</v>
      </c>
    </row>
    <row r="7" spans="1:3" ht="29.25" customHeight="1">
      <c r="A7" s="162">
        <v>3</v>
      </c>
      <c r="B7" s="164" t="s">
        <v>103</v>
      </c>
      <c r="C7" s="164" t="s">
        <v>104</v>
      </c>
    </row>
    <row r="8" spans="1:3" ht="29.25" customHeight="1">
      <c r="A8" s="162">
        <v>4</v>
      </c>
      <c r="B8" s="164" t="s">
        <v>105</v>
      </c>
      <c r="C8" s="164" t="s">
        <v>110</v>
      </c>
    </row>
    <row r="9" spans="1:3" ht="29.25" customHeight="1">
      <c r="A9" s="162">
        <v>5</v>
      </c>
      <c r="B9" s="164" t="s">
        <v>106</v>
      </c>
      <c r="C9" s="164"/>
    </row>
    <row r="10" spans="1:3" ht="29.25" customHeight="1">
      <c r="A10" s="162">
        <v>6</v>
      </c>
      <c r="B10" s="164" t="s">
        <v>107</v>
      </c>
      <c r="C10" s="164"/>
    </row>
    <row r="11" spans="1:3" ht="29.25" customHeight="1">
      <c r="A11" s="162">
        <v>7</v>
      </c>
      <c r="B11" s="164" t="s">
        <v>108</v>
      </c>
      <c r="C11" s="164"/>
    </row>
    <row r="12" spans="1:3" ht="14.25" customHeight="1">
      <c r="A12" s="159"/>
    </row>
    <row r="13" spans="1:3" ht="14.25" customHeight="1">
      <c r="A13" s="159"/>
    </row>
    <row r="14" spans="1:3" ht="14.25" customHeight="1">
      <c r="A14" s="159"/>
    </row>
    <row r="15" spans="1:3" ht="14.25" customHeight="1">
      <c r="A15" s="159"/>
    </row>
    <row r="16" spans="1:3" ht="14.25" customHeight="1">
      <c r="A16" s="159"/>
    </row>
    <row r="17" spans="1:1" ht="14.25" customHeight="1">
      <c r="A17" s="159"/>
    </row>
    <row r="18" spans="1:1" ht="14.25" customHeight="1">
      <c r="A18" s="159"/>
    </row>
    <row r="19" spans="1:1" ht="14.25" customHeight="1">
      <c r="A19" s="159"/>
    </row>
    <row r="20" spans="1:1" ht="14.25" customHeight="1">
      <c r="A20" s="159"/>
    </row>
    <row r="21" spans="1:1" ht="14.25" customHeight="1">
      <c r="A21" s="159"/>
    </row>
    <row r="22" spans="1:1" ht="14.25" customHeight="1">
      <c r="A22" s="159"/>
    </row>
    <row r="23" spans="1:1" ht="14.25" customHeight="1">
      <c r="A23" s="159"/>
    </row>
    <row r="24" spans="1:1" ht="14.25" customHeight="1">
      <c r="A24" s="159"/>
    </row>
    <row r="25" spans="1:1" ht="14.25" customHeight="1">
      <c r="A25" s="159"/>
    </row>
    <row r="26" spans="1:1" ht="14.25" customHeight="1">
      <c r="A26" s="159"/>
    </row>
    <row r="27" spans="1:1" ht="14.25" customHeight="1">
      <c r="A27" s="159"/>
    </row>
    <row r="28" spans="1:1" ht="14.25" customHeight="1">
      <c r="A28" s="159"/>
    </row>
    <row r="29" spans="1:1" ht="14.25" customHeight="1">
      <c r="A29" s="159"/>
    </row>
    <row r="30" spans="1:1" ht="14.25" customHeight="1">
      <c r="A30" s="159"/>
    </row>
    <row r="31" spans="1:1" ht="14.25" customHeight="1">
      <c r="A31" s="159"/>
    </row>
    <row r="32" spans="1:1" ht="14.25" customHeight="1">
      <c r="A32" s="159"/>
    </row>
    <row r="33" spans="1:1" ht="14.25" customHeight="1">
      <c r="A33" s="159"/>
    </row>
    <row r="34" spans="1:1" ht="14.25" customHeight="1">
      <c r="A34" s="159"/>
    </row>
    <row r="35" spans="1:1" ht="14.25" customHeight="1">
      <c r="A35" s="159"/>
    </row>
    <row r="36" spans="1:1" ht="14.25" customHeight="1">
      <c r="A36" s="159"/>
    </row>
    <row r="37" spans="1:1" ht="14.25" customHeight="1">
      <c r="A37" s="159"/>
    </row>
    <row r="38" spans="1:1" ht="14.25" customHeight="1">
      <c r="A38" s="159"/>
    </row>
    <row r="39" spans="1:1" ht="14.25" customHeight="1">
      <c r="A39" s="159"/>
    </row>
    <row r="40" spans="1:1" ht="14.25" customHeight="1">
      <c r="A40" s="159"/>
    </row>
    <row r="41" spans="1:1" ht="14.25" customHeight="1">
      <c r="A41" s="159"/>
    </row>
    <row r="42" spans="1:1" ht="14.25" customHeight="1">
      <c r="A42" s="159"/>
    </row>
    <row r="43" spans="1:1" ht="14.25" customHeight="1">
      <c r="A43" s="159"/>
    </row>
    <row r="44" spans="1:1" ht="14.25" customHeight="1">
      <c r="A44" s="159"/>
    </row>
    <row r="45" spans="1:1" ht="14.25" customHeight="1">
      <c r="A45" s="159"/>
    </row>
    <row r="46" spans="1:1" ht="14.25" customHeight="1">
      <c r="A46" s="159"/>
    </row>
    <row r="47" spans="1:1" ht="14.25" customHeight="1">
      <c r="A47" s="159"/>
    </row>
    <row r="48" spans="1:1" ht="14.25" customHeight="1">
      <c r="A48" s="159"/>
    </row>
    <row r="49" spans="1:1" ht="14.25" customHeight="1">
      <c r="A49" s="159"/>
    </row>
    <row r="50" spans="1:1" ht="14.25" customHeight="1">
      <c r="A50" s="159"/>
    </row>
    <row r="51" spans="1:1" ht="14.25" customHeight="1">
      <c r="A51" s="159"/>
    </row>
    <row r="52" spans="1:1" ht="14.25" customHeight="1">
      <c r="A52" s="159"/>
    </row>
    <row r="53" spans="1:1" ht="14.25" customHeight="1">
      <c r="A53" s="159"/>
    </row>
    <row r="54" spans="1:1" ht="14.25" customHeight="1">
      <c r="A54" s="159"/>
    </row>
    <row r="55" spans="1:1" ht="14.25" customHeight="1">
      <c r="A55" s="159"/>
    </row>
    <row r="56" spans="1:1" ht="14.25" customHeight="1">
      <c r="A56" s="159"/>
    </row>
    <row r="57" spans="1:1" ht="14.25" customHeight="1">
      <c r="A57" s="159"/>
    </row>
    <row r="58" spans="1:1" ht="14.25" customHeight="1">
      <c r="A58" s="159"/>
    </row>
    <row r="59" spans="1:1" ht="14.25" customHeight="1">
      <c r="A59" s="159"/>
    </row>
    <row r="60" spans="1:1" ht="14.25" customHeight="1">
      <c r="A60" s="159"/>
    </row>
    <row r="61" spans="1:1" ht="14.25" customHeight="1">
      <c r="A61" s="159"/>
    </row>
    <row r="62" spans="1:1" ht="14.25" customHeight="1">
      <c r="A62" s="159"/>
    </row>
    <row r="63" spans="1:1" ht="14.25" customHeight="1">
      <c r="A63" s="159"/>
    </row>
    <row r="64" spans="1:1" ht="14.25" customHeight="1">
      <c r="A64" s="159"/>
    </row>
    <row r="65" spans="1:1" ht="14.25" customHeight="1">
      <c r="A65" s="159"/>
    </row>
    <row r="66" spans="1:1" ht="14.25" customHeight="1">
      <c r="A66" s="159"/>
    </row>
    <row r="67" spans="1:1" ht="14.25" customHeight="1">
      <c r="A67" s="159"/>
    </row>
    <row r="68" spans="1:1" ht="14.25" customHeight="1">
      <c r="A68" s="159"/>
    </row>
    <row r="69" spans="1:1" ht="14.25" customHeight="1">
      <c r="A69" s="159"/>
    </row>
    <row r="70" spans="1:1" ht="14.25" customHeight="1">
      <c r="A70" s="159"/>
    </row>
    <row r="71" spans="1:1" ht="14.25" customHeight="1">
      <c r="A71" s="159"/>
    </row>
    <row r="72" spans="1:1" ht="14.25" customHeight="1">
      <c r="A72" s="159"/>
    </row>
    <row r="73" spans="1:1" ht="14.25" customHeight="1">
      <c r="A73" s="159"/>
    </row>
    <row r="74" spans="1:1" ht="14.25" customHeight="1">
      <c r="A74" s="159"/>
    </row>
    <row r="75" spans="1:1" ht="14.25" customHeight="1">
      <c r="A75" s="159"/>
    </row>
    <row r="76" spans="1:1" ht="14.25" customHeight="1">
      <c r="A76" s="159"/>
    </row>
    <row r="77" spans="1:1" ht="14.25" customHeight="1">
      <c r="A77" s="159"/>
    </row>
    <row r="78" spans="1:1" ht="14.25" customHeight="1">
      <c r="A78" s="159"/>
    </row>
    <row r="79" spans="1:1" ht="14.25" customHeight="1">
      <c r="A79" s="159"/>
    </row>
    <row r="80" spans="1:1" ht="14.25" customHeight="1">
      <c r="A80" s="159"/>
    </row>
    <row r="81" spans="1:1" ht="14.25" customHeight="1">
      <c r="A81" s="159"/>
    </row>
    <row r="82" spans="1:1" ht="14.25" customHeight="1">
      <c r="A82" s="159"/>
    </row>
    <row r="83" spans="1:1" ht="14.25" customHeight="1">
      <c r="A83" s="159"/>
    </row>
    <row r="84" spans="1:1" ht="14.25" customHeight="1">
      <c r="A84" s="159"/>
    </row>
    <row r="85" spans="1:1" ht="14.25" customHeight="1">
      <c r="A85" s="159"/>
    </row>
    <row r="86" spans="1:1" ht="14.25" customHeight="1">
      <c r="A86" s="159"/>
    </row>
    <row r="87" spans="1:1" ht="14.25" customHeight="1">
      <c r="A87" s="159"/>
    </row>
    <row r="88" spans="1:1" ht="14.25" customHeight="1">
      <c r="A88" s="159"/>
    </row>
    <row r="89" spans="1:1" ht="14.25" customHeight="1">
      <c r="A89" s="159"/>
    </row>
    <row r="90" spans="1:1" ht="14.25" customHeight="1">
      <c r="A90" s="159"/>
    </row>
    <row r="91" spans="1:1" ht="14.25" customHeight="1">
      <c r="A91" s="159"/>
    </row>
    <row r="92" spans="1:1" ht="14.25" customHeight="1">
      <c r="A92" s="159"/>
    </row>
    <row r="93" spans="1:1" ht="14.25" customHeight="1">
      <c r="A93" s="159"/>
    </row>
    <row r="94" spans="1:1" ht="14.25" customHeight="1">
      <c r="A94" s="159"/>
    </row>
    <row r="95" spans="1:1" ht="14.25" customHeight="1">
      <c r="A95" s="159"/>
    </row>
    <row r="96" spans="1:1" ht="14.25" customHeight="1">
      <c r="A96" s="159"/>
    </row>
    <row r="97" spans="1:1" ht="14.25" customHeight="1">
      <c r="A97" s="159"/>
    </row>
    <row r="98" spans="1:1" ht="14.25" customHeight="1">
      <c r="A98" s="159"/>
    </row>
    <row r="99" spans="1:1" ht="14.25" customHeight="1">
      <c r="A99" s="159"/>
    </row>
    <row r="100" spans="1:1" ht="14.25" customHeight="1">
      <c r="A100" s="159"/>
    </row>
    <row r="101" spans="1:1" ht="14.25" customHeight="1">
      <c r="A101" s="159"/>
    </row>
  </sheetData>
  <mergeCells count="1">
    <mergeCell ref="A2:C2"/>
  </mergeCells>
  <pageMargins left="0.7" right="0.7" top="0.75" bottom="0.75" header="0" footer="0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0DDEA-BC81-440E-AE9F-AFA680C50E7A}">
  <dimension ref="B1:R9"/>
  <sheetViews>
    <sheetView workbookViewId="0">
      <selection activeCell="D18" sqref="D18"/>
    </sheetView>
  </sheetViews>
  <sheetFormatPr defaultColWidth="9.1796875" defaultRowHeight="14.5"/>
  <cols>
    <col min="1" max="1" width="9.1796875" style="117"/>
    <col min="2" max="2" width="16" style="116" customWidth="1"/>
    <col min="3" max="3" width="20.81640625" style="116" customWidth="1"/>
    <col min="4" max="5" width="19.26953125" style="117" customWidth="1"/>
    <col min="6" max="6" width="18.453125" style="117" customWidth="1"/>
    <col min="7" max="7" width="1.453125" style="117" customWidth="1"/>
    <col min="8" max="8" width="17.453125" style="117" customWidth="1"/>
    <col min="9" max="9" width="19.81640625" style="117" customWidth="1"/>
    <col min="10" max="10" width="9.1796875" style="117"/>
    <col min="11" max="11" width="1.54296875" style="117" customWidth="1"/>
    <col min="12" max="12" width="22" style="117" customWidth="1"/>
    <col min="13" max="13" width="10.26953125" style="117" customWidth="1"/>
    <col min="14" max="14" width="9.1796875" style="117"/>
    <col min="15" max="15" width="1.453125" style="117" customWidth="1"/>
    <col min="16" max="16" width="25.54296875" style="117" customWidth="1"/>
    <col min="17" max="17" width="12" style="117" customWidth="1"/>
    <col min="18" max="18" width="8.81640625" style="117" customWidth="1"/>
    <col min="19" max="16384" width="9.1796875" style="117"/>
  </cols>
  <sheetData>
    <row r="1" spans="2:18" ht="15" thickBot="1"/>
    <row r="2" spans="2:18" ht="32.25" customHeight="1">
      <c r="B2" s="185" t="s">
        <v>83</v>
      </c>
      <c r="C2" s="186" t="s">
        <v>85</v>
      </c>
      <c r="D2" s="187" t="s">
        <v>125</v>
      </c>
      <c r="E2" s="230" t="s">
        <v>148</v>
      </c>
      <c r="F2" s="188" t="s">
        <v>149</v>
      </c>
      <c r="G2" s="177"/>
    </row>
    <row r="3" spans="2:18" ht="19.5" customHeight="1" thickBot="1">
      <c r="B3" s="189" t="s">
        <v>126</v>
      </c>
      <c r="C3" s="190" t="s">
        <v>124</v>
      </c>
      <c r="D3" s="191" t="s">
        <v>28</v>
      </c>
      <c r="E3" s="231" t="s">
        <v>28</v>
      </c>
      <c r="F3" s="192" t="s">
        <v>28</v>
      </c>
      <c r="G3" s="178"/>
    </row>
    <row r="4" spans="2:18" ht="32.25" customHeight="1" thickBot="1">
      <c r="B4" s="199">
        <v>1000</v>
      </c>
      <c r="C4" s="200">
        <f>2.1+19.1+31.243+11.406+23.2</f>
        <v>87.048999999999992</v>
      </c>
      <c r="D4" s="201">
        <f>C4*0.28</f>
        <v>24.373719999999999</v>
      </c>
      <c r="E4" s="232">
        <f>D4</f>
        <v>24.373719999999999</v>
      </c>
      <c r="F4" s="202">
        <f>C4*0.52-E4</f>
        <v>20.891759999999998</v>
      </c>
      <c r="G4" s="179"/>
      <c r="H4" s="172" t="s">
        <v>125</v>
      </c>
      <c r="I4" s="175">
        <f>1.4*C4</f>
        <v>121.86859999999999</v>
      </c>
      <c r="J4" s="173" t="s">
        <v>39</v>
      </c>
      <c r="K4" s="181"/>
      <c r="L4" s="174" t="s">
        <v>127</v>
      </c>
      <c r="M4" s="176">
        <f>I4</f>
        <v>121.86859999999999</v>
      </c>
      <c r="N4" s="173" t="s">
        <v>39</v>
      </c>
      <c r="O4" s="181"/>
      <c r="P4" s="172" t="s">
        <v>128</v>
      </c>
      <c r="Q4" s="175">
        <f>0.6*2*C4</f>
        <v>104.45879999999998</v>
      </c>
      <c r="R4" s="131" t="s">
        <v>39</v>
      </c>
    </row>
    <row r="5" spans="2:18" ht="6.75" customHeight="1" thickBot="1">
      <c r="B5" s="193"/>
      <c r="C5" s="194"/>
      <c r="D5" s="195"/>
      <c r="E5" s="233"/>
      <c r="F5" s="196"/>
      <c r="G5" s="179"/>
      <c r="H5" s="181"/>
      <c r="I5" s="182"/>
      <c r="J5" s="181"/>
      <c r="K5" s="181"/>
      <c r="L5" s="181"/>
      <c r="M5" s="182"/>
      <c r="N5" s="181"/>
      <c r="O5" s="181"/>
      <c r="P5" s="181"/>
      <c r="Q5" s="182"/>
      <c r="R5" s="181"/>
    </row>
    <row r="6" spans="2:18" ht="32.25" customHeight="1" thickBot="1">
      <c r="B6" s="199">
        <v>1500</v>
      </c>
      <c r="C6" s="200">
        <f>53.8+1.56</f>
        <v>55.36</v>
      </c>
      <c r="D6" s="201">
        <f>C6*0.379</f>
        <v>20.981439999999999</v>
      </c>
      <c r="E6" s="232">
        <f>D6</f>
        <v>20.981439999999999</v>
      </c>
      <c r="F6" s="202">
        <f>C6*0.619-E6</f>
        <v>13.2864</v>
      </c>
      <c r="G6" s="179"/>
      <c r="H6" s="235" t="s">
        <v>125</v>
      </c>
      <c r="I6" s="236">
        <f>1.9*C6</f>
        <v>105.184</v>
      </c>
      <c r="J6" s="237" t="s">
        <v>39</v>
      </c>
      <c r="K6" s="181"/>
      <c r="L6" s="238" t="s">
        <v>127</v>
      </c>
      <c r="M6" s="239">
        <f>I6</f>
        <v>105.184</v>
      </c>
      <c r="N6" s="237" t="s">
        <v>39</v>
      </c>
      <c r="O6" s="181"/>
      <c r="P6" s="235" t="s">
        <v>128</v>
      </c>
      <c r="Q6" s="236">
        <f>0.6*2*C6</f>
        <v>66.432000000000002</v>
      </c>
      <c r="R6" s="240" t="s">
        <v>39</v>
      </c>
    </row>
    <row r="7" spans="2:18" ht="7.5" customHeight="1" thickBot="1">
      <c r="B7" s="193"/>
      <c r="C7" s="194"/>
      <c r="D7" s="195"/>
      <c r="E7" s="233"/>
      <c r="F7" s="196"/>
      <c r="G7" s="179"/>
      <c r="H7" s="177"/>
      <c r="I7" s="179"/>
      <c r="J7" s="183"/>
      <c r="K7" s="181"/>
      <c r="L7" s="183"/>
      <c r="M7" s="184"/>
      <c r="N7" s="183"/>
      <c r="O7" s="181"/>
      <c r="P7" s="177"/>
      <c r="Q7" s="179"/>
      <c r="R7" s="177"/>
    </row>
    <row r="8" spans="2:18" ht="32.25" customHeight="1" thickBot="1">
      <c r="B8" s="199">
        <v>600</v>
      </c>
      <c r="C8" s="200">
        <f>5.878+0.8+1.495+1.559+1.559+1.559+1.559+7.18+1.355</f>
        <v>22.943999999999999</v>
      </c>
      <c r="D8" s="201">
        <f>C8*0.2</f>
        <v>4.5888</v>
      </c>
      <c r="E8" s="232">
        <f>D8</f>
        <v>4.5888</v>
      </c>
      <c r="F8" s="202">
        <f>C8*0.44-E8</f>
        <v>5.5065599999999995</v>
      </c>
      <c r="G8" s="179"/>
      <c r="H8" s="172" t="s">
        <v>125</v>
      </c>
      <c r="I8" s="175">
        <f>1*C8</f>
        <v>22.943999999999999</v>
      </c>
      <c r="J8" s="173" t="s">
        <v>39</v>
      </c>
      <c r="K8" s="181"/>
      <c r="L8" s="174" t="s">
        <v>127</v>
      </c>
      <c r="M8" s="176">
        <f>I8</f>
        <v>22.943999999999999</v>
      </c>
      <c r="N8" s="173" t="s">
        <v>39</v>
      </c>
      <c r="O8" s="181"/>
      <c r="P8" s="172" t="s">
        <v>128</v>
      </c>
      <c r="Q8" s="175">
        <f>0.6*2*C8</f>
        <v>27.532799999999998</v>
      </c>
      <c r="R8" s="131" t="s">
        <v>39</v>
      </c>
    </row>
    <row r="9" spans="2:18" ht="32.25" customHeight="1" thickBot="1">
      <c r="B9" s="508" t="s">
        <v>129</v>
      </c>
      <c r="C9" s="509"/>
      <c r="D9" s="197">
        <f>SUM(D4:D8)</f>
        <v>49.943959999999997</v>
      </c>
      <c r="E9" s="234">
        <f>SUM(E4:E8)</f>
        <v>49.943959999999997</v>
      </c>
      <c r="F9" s="198">
        <f>SUM(F4:F8)</f>
        <v>39.684719999999999</v>
      </c>
      <c r="G9" s="180"/>
    </row>
  </sheetData>
  <mergeCells count="1">
    <mergeCell ref="B9:C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3B266-25EC-494B-905A-63662F1A9D28}">
  <dimension ref="A1:O32"/>
  <sheetViews>
    <sheetView topLeftCell="A19" workbookViewId="0">
      <selection activeCell="E11" sqref="E11"/>
    </sheetView>
  </sheetViews>
  <sheetFormatPr defaultColWidth="9.1796875" defaultRowHeight="14.5"/>
  <cols>
    <col min="1" max="1" width="20.453125" style="116" bestFit="1" customWidth="1"/>
    <col min="2" max="2" width="36.1796875" style="116" customWidth="1"/>
    <col min="3" max="3" width="11.453125" style="116" customWidth="1"/>
    <col min="4" max="4" width="11.1796875" style="116" customWidth="1"/>
    <col min="5" max="5" width="10.1796875" style="116" customWidth="1"/>
    <col min="6" max="6" width="7.26953125" style="116" bestFit="1" customWidth="1"/>
    <col min="7" max="7" width="18.453125" style="116" customWidth="1"/>
    <col min="8" max="8" width="6.453125" style="116" customWidth="1"/>
    <col min="9" max="9" width="7.26953125" style="116" bestFit="1" customWidth="1"/>
    <col min="10" max="10" width="9" style="116" bestFit="1" customWidth="1"/>
    <col min="11" max="11" width="8.26953125" style="116" bestFit="1" customWidth="1"/>
    <col min="12" max="12" width="11.453125" style="116" bestFit="1" customWidth="1"/>
    <col min="13" max="13" width="9" style="116" customWidth="1"/>
    <col min="14" max="14" width="14.54296875" style="116" bestFit="1" customWidth="1"/>
    <col min="15" max="15" width="9.1796875" style="116"/>
    <col min="16" max="18" width="9.1796875" style="117"/>
    <col min="19" max="19" width="12.54296875" style="117" bestFit="1" customWidth="1"/>
    <col min="20" max="16384" width="9.1796875" style="117"/>
  </cols>
  <sheetData>
    <row r="1" spans="2:7" ht="15" thickBot="1"/>
    <row r="2" spans="2:7" ht="38.25" customHeight="1" thickBot="1">
      <c r="B2" s="510" t="s">
        <v>71</v>
      </c>
      <c r="C2" s="511"/>
      <c r="D2" s="512"/>
    </row>
    <row r="3" spans="2:7" ht="32.25" customHeight="1" thickBot="1">
      <c r="B3" s="118" t="s">
        <v>72</v>
      </c>
      <c r="C3" s="119" t="s">
        <v>73</v>
      </c>
      <c r="D3" s="120" t="s">
        <v>74</v>
      </c>
    </row>
    <row r="4" spans="2:7" ht="32.25" customHeight="1">
      <c r="B4" s="121" t="s">
        <v>75</v>
      </c>
      <c r="C4" s="167">
        <f>967.7+46+24.5+7.3+4.4+19.6+59.1+5.8+2.2+5.8+5.8+2.2+4.4+15.6+21.3+37.9+15.6+5+6.3</f>
        <v>1256.4999999999998</v>
      </c>
      <c r="D4" s="122" t="s">
        <v>39</v>
      </c>
      <c r="F4" s="123"/>
      <c r="G4" s="165">
        <f>C4+C5+C6</f>
        <v>4096.7</v>
      </c>
    </row>
    <row r="5" spans="2:7" ht="32.25" customHeight="1">
      <c r="B5" s="124" t="s">
        <v>76</v>
      </c>
      <c r="C5" s="168">
        <f>75.2+56.2+179.6+15.1+139.9</f>
        <v>466</v>
      </c>
      <c r="D5" s="125" t="s">
        <v>39</v>
      </c>
      <c r="G5" s="116">
        <f>75.2+56.2+179.6+15.1+139.9</f>
        <v>466</v>
      </c>
    </row>
    <row r="6" spans="2:7" ht="32.25" customHeight="1">
      <c r="B6" s="124" t="s">
        <v>77</v>
      </c>
      <c r="C6" s="166">
        <f>2165.3+208.9</f>
        <v>2374.2000000000003</v>
      </c>
      <c r="D6" s="125" t="s">
        <v>39</v>
      </c>
    </row>
    <row r="7" spans="2:7" ht="32.25" customHeight="1">
      <c r="B7" s="126" t="s">
        <v>78</v>
      </c>
      <c r="C7" s="166">
        <v>274.5</v>
      </c>
      <c r="D7" s="125" t="s">
        <v>39</v>
      </c>
    </row>
    <row r="8" spans="2:7" ht="32.25" customHeight="1">
      <c r="B8" s="126" t="s">
        <v>122</v>
      </c>
      <c r="C8" s="166">
        <f>149.801+18.984+46.479+2.4+29.6+21.05+7.4+26.359+110.409+5.39+11.538+46.457+5.178+53.666+9.623+112.035-C9</f>
        <v>530.42900000000009</v>
      </c>
      <c r="D8" s="125" t="s">
        <v>124</v>
      </c>
    </row>
    <row r="9" spans="2:7" ht="32.25" customHeight="1">
      <c r="B9" s="126" t="s">
        <v>123</v>
      </c>
      <c r="C9" s="170">
        <f>97.54+28.4</f>
        <v>125.94</v>
      </c>
      <c r="D9" s="125" t="s">
        <v>124</v>
      </c>
    </row>
    <row r="10" spans="2:7" ht="32.25" customHeight="1" thickBot="1">
      <c r="B10" s="127" t="s">
        <v>79</v>
      </c>
      <c r="C10" s="128">
        <f>83.75+166.895</f>
        <v>250.64500000000001</v>
      </c>
      <c r="D10" s="125" t="s">
        <v>124</v>
      </c>
    </row>
    <row r="11" spans="2:7" ht="32.25" customHeight="1" thickBot="1">
      <c r="B11" s="119" t="s">
        <v>80</v>
      </c>
      <c r="C11" s="130">
        <f>127.022+68.53+8.498*14+20+35.53+6.83+128.154+1.67*2+2.5*6+29+31.499</f>
        <v>583.87699999999995</v>
      </c>
      <c r="D11" s="131" t="s">
        <v>81</v>
      </c>
    </row>
    <row r="14" spans="2:7" ht="15" thickBot="1"/>
    <row r="15" spans="2:7" ht="38.25" customHeight="1" thickBot="1">
      <c r="B15" s="513" t="s">
        <v>82</v>
      </c>
      <c r="C15" s="118" t="s">
        <v>83</v>
      </c>
      <c r="D15" s="119" t="s">
        <v>73</v>
      </c>
      <c r="E15" s="120" t="s">
        <v>74</v>
      </c>
    </row>
    <row r="16" spans="2:7" ht="27.75" customHeight="1">
      <c r="B16" s="514"/>
      <c r="C16" s="132">
        <v>20</v>
      </c>
      <c r="D16" s="133">
        <v>561.29999999999995</v>
      </c>
      <c r="E16" s="122" t="s">
        <v>39</v>
      </c>
    </row>
    <row r="17" spans="2:12" ht="27.75" customHeight="1" thickBot="1">
      <c r="B17" s="515"/>
      <c r="C17" s="134">
        <v>30</v>
      </c>
      <c r="D17" s="135">
        <v>40.700000000000003</v>
      </c>
      <c r="E17" s="129" t="s">
        <v>39</v>
      </c>
    </row>
    <row r="18" spans="2:12" ht="27.75" customHeight="1"/>
    <row r="20" spans="2:12" ht="15" thickBot="1"/>
    <row r="21" spans="2:12" ht="34.5" customHeight="1" thickBot="1">
      <c r="B21" s="118" t="s">
        <v>84</v>
      </c>
      <c r="C21" s="136" t="s">
        <v>85</v>
      </c>
      <c r="D21" s="137" t="s">
        <v>74</v>
      </c>
      <c r="E21" s="138" t="s">
        <v>86</v>
      </c>
      <c r="F21" s="139" t="s">
        <v>74</v>
      </c>
      <c r="G21" s="140" t="s">
        <v>87</v>
      </c>
      <c r="H21" s="136" t="s">
        <v>86</v>
      </c>
      <c r="I21" s="139" t="s">
        <v>74</v>
      </c>
      <c r="J21" s="139" t="s">
        <v>85</v>
      </c>
      <c r="K21" s="139" t="s">
        <v>88</v>
      </c>
      <c r="L21" s="137" t="s">
        <v>89</v>
      </c>
    </row>
    <row r="22" spans="2:12" ht="29.25" customHeight="1">
      <c r="B22" s="121" t="s">
        <v>90</v>
      </c>
      <c r="C22" s="141">
        <f>37.822+41.807+32.703+16.955</f>
        <v>129.28700000000001</v>
      </c>
      <c r="D22" s="142" t="s">
        <v>81</v>
      </c>
      <c r="E22" s="143">
        <v>2</v>
      </c>
      <c r="F22" s="144" t="s">
        <v>15</v>
      </c>
      <c r="G22" s="145">
        <v>1</v>
      </c>
      <c r="H22" s="141"/>
      <c r="I22" s="144"/>
      <c r="J22" s="144"/>
      <c r="K22" s="144"/>
      <c r="L22" s="145"/>
    </row>
    <row r="23" spans="2:12" ht="29.25" customHeight="1">
      <c r="B23" s="124" t="s">
        <v>91</v>
      </c>
      <c r="C23" s="146">
        <f>49.428+15.284+76.76+76.871+24.904</f>
        <v>243.24700000000001</v>
      </c>
      <c r="D23" s="147" t="s">
        <v>81</v>
      </c>
      <c r="E23" s="148">
        <v>12</v>
      </c>
      <c r="F23" s="149" t="s">
        <v>15</v>
      </c>
      <c r="G23" s="150">
        <v>1</v>
      </c>
      <c r="H23" s="146">
        <v>1</v>
      </c>
      <c r="I23" s="149" t="s">
        <v>15</v>
      </c>
      <c r="J23" s="151">
        <v>2</v>
      </c>
      <c r="K23" s="151">
        <v>2</v>
      </c>
      <c r="L23" s="152">
        <v>3</v>
      </c>
    </row>
    <row r="24" spans="2:12" ht="29.25" customHeight="1">
      <c r="B24" s="124" t="s">
        <v>92</v>
      </c>
      <c r="C24" s="146">
        <f>84.891+13.616+85.897+130.937+37.557</f>
        <v>352.89800000000002</v>
      </c>
      <c r="D24" s="147" t="s">
        <v>81</v>
      </c>
      <c r="E24" s="148">
        <v>14</v>
      </c>
      <c r="F24" s="149" t="s">
        <v>15</v>
      </c>
      <c r="G24" s="150">
        <v>1</v>
      </c>
      <c r="H24" s="146"/>
      <c r="I24" s="149"/>
      <c r="J24" s="149"/>
      <c r="K24" s="149"/>
      <c r="L24" s="150"/>
    </row>
    <row r="25" spans="2:12" ht="29.25" customHeight="1">
      <c r="B25" s="124" t="s">
        <v>93</v>
      </c>
      <c r="C25" s="146">
        <f>78.284+64.98+8.769*2+8.689+13.168</f>
        <v>182.65900000000002</v>
      </c>
      <c r="D25" s="147" t="s">
        <v>81</v>
      </c>
      <c r="E25" s="148">
        <v>8</v>
      </c>
      <c r="F25" s="149" t="s">
        <v>15</v>
      </c>
      <c r="G25" s="150">
        <v>1</v>
      </c>
      <c r="H25" s="146"/>
      <c r="I25" s="149"/>
      <c r="J25" s="149"/>
      <c r="K25" s="149"/>
      <c r="L25" s="150"/>
    </row>
    <row r="26" spans="2:12" ht="29.25" customHeight="1" thickBot="1">
      <c r="B26" s="127" t="s">
        <v>94</v>
      </c>
      <c r="C26" s="153">
        <f>1.537*5+113.766+25.72+8.763</f>
        <v>155.934</v>
      </c>
      <c r="D26" s="154" t="s">
        <v>81</v>
      </c>
      <c r="E26" s="155"/>
      <c r="F26" s="156" t="s">
        <v>15</v>
      </c>
      <c r="G26" s="157">
        <v>1</v>
      </c>
      <c r="H26" s="153"/>
      <c r="I26" s="156"/>
      <c r="J26" s="156"/>
      <c r="K26" s="156"/>
      <c r="L26" s="157"/>
    </row>
    <row r="29" spans="2:12">
      <c r="B29" s="158" t="s">
        <v>86</v>
      </c>
    </row>
    <row r="30" spans="2:12">
      <c r="B30" s="158" t="s">
        <v>95</v>
      </c>
    </row>
    <row r="31" spans="2:12">
      <c r="B31" s="158" t="s">
        <v>96</v>
      </c>
    </row>
    <row r="32" spans="2:12">
      <c r="B32" s="158"/>
    </row>
  </sheetData>
  <mergeCells count="2">
    <mergeCell ref="B2:D2"/>
    <mergeCell ref="B15:B17"/>
  </mergeCells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1A760-58F7-452D-905D-32130183B308}">
  <dimension ref="A1:O29"/>
  <sheetViews>
    <sheetView workbookViewId="0">
      <selection activeCell="E11" sqref="E11"/>
    </sheetView>
  </sheetViews>
  <sheetFormatPr defaultColWidth="9.1796875" defaultRowHeight="14.5"/>
  <cols>
    <col min="1" max="1" width="20.453125" style="295" bestFit="1" customWidth="1"/>
    <col min="2" max="2" width="36.1796875" style="295" customWidth="1"/>
    <col min="3" max="3" width="9.26953125" style="295" bestFit="1" customWidth="1"/>
    <col min="4" max="4" width="10" style="295" customWidth="1"/>
    <col min="5" max="5" width="7" style="295" bestFit="1" customWidth="1"/>
    <col min="6" max="6" width="7.26953125" style="295" bestFit="1" customWidth="1"/>
    <col min="7" max="7" width="6" style="295" customWidth="1"/>
    <col min="8" max="8" width="6.453125" style="295" customWidth="1"/>
    <col min="9" max="9" width="7.26953125" style="295" bestFit="1" customWidth="1"/>
    <col min="10" max="10" width="9" style="295" bestFit="1" customWidth="1"/>
    <col min="11" max="11" width="8.26953125" style="295" bestFit="1" customWidth="1"/>
    <col min="12" max="12" width="11.453125" style="295" bestFit="1" customWidth="1"/>
    <col min="13" max="13" width="9" style="295" customWidth="1"/>
    <col min="14" max="14" width="14.54296875" style="295" bestFit="1" customWidth="1"/>
    <col min="15" max="15" width="9.1796875" style="295"/>
    <col min="16" max="18" width="9.1796875" style="339"/>
    <col min="19" max="19" width="12.54296875" style="339" bestFit="1" customWidth="1"/>
    <col min="20" max="16384" width="9.1796875" style="339"/>
  </cols>
  <sheetData>
    <row r="1" spans="2:6" ht="15" thickBot="1">
      <c r="B1" s="516" t="s">
        <v>71</v>
      </c>
      <c r="C1" s="517"/>
      <c r="D1" s="518"/>
    </row>
    <row r="2" spans="2:6" ht="15" thickBot="1">
      <c r="B2" s="296" t="s">
        <v>72</v>
      </c>
      <c r="C2" s="297" t="s">
        <v>73</v>
      </c>
      <c r="D2" s="298" t="s">
        <v>74</v>
      </c>
    </row>
    <row r="3" spans="2:6">
      <c r="B3" s="299" t="s">
        <v>75</v>
      </c>
      <c r="C3" s="300">
        <f>967.7+46+24.5+7.3+4.4+19.6+59.1+5.8+2.2+5.8+5.8+2.2+4.4+15.6+21.3+37.9+15.6+5+6.3</f>
        <v>1256.4999999999998</v>
      </c>
      <c r="D3" s="301" t="s">
        <v>39</v>
      </c>
      <c r="F3" s="302"/>
    </row>
    <row r="4" spans="2:6">
      <c r="B4" s="303" t="s">
        <v>76</v>
      </c>
      <c r="C4" s="304">
        <f>56.2+179.6+15.1+139.9+67.5</f>
        <v>458.3</v>
      </c>
      <c r="D4" s="305" t="s">
        <v>39</v>
      </c>
    </row>
    <row r="5" spans="2:6">
      <c r="B5" s="303" t="s">
        <v>77</v>
      </c>
      <c r="C5" s="304">
        <v>2165.3000000000002</v>
      </c>
      <c r="D5" s="305" t="s">
        <v>39</v>
      </c>
    </row>
    <row r="6" spans="2:6">
      <c r="B6" s="306" t="s">
        <v>78</v>
      </c>
      <c r="C6" s="304">
        <v>274.5</v>
      </c>
      <c r="D6" s="305" t="s">
        <v>39</v>
      </c>
    </row>
    <row r="7" spans="2:6">
      <c r="B7" s="306" t="s">
        <v>176</v>
      </c>
      <c r="C7" s="304">
        <f>149.801+18.984+46.479+2.4+29.6+21.05+7.4+26.359+110.409+5.39+11.538+46.457+5.178+53.666+9.623+112.035</f>
        <v>656.36900000000003</v>
      </c>
      <c r="D7" s="305" t="s">
        <v>39</v>
      </c>
    </row>
    <row r="8" spans="2:6" ht="15" thickBot="1">
      <c r="B8" s="307" t="s">
        <v>79</v>
      </c>
      <c r="C8" s="308">
        <f>83.75+166.895</f>
        <v>250.64500000000001</v>
      </c>
      <c r="D8" s="309" t="s">
        <v>39</v>
      </c>
    </row>
    <row r="9" spans="2:6" ht="15" thickBot="1">
      <c r="B9" s="297" t="s">
        <v>80</v>
      </c>
      <c r="C9" s="310">
        <f>127.022+68.53+8.498*14+20+35.53+6.83+128.154+1.67*2+2.5*6+29+31.499</f>
        <v>583.87699999999995</v>
      </c>
      <c r="D9" s="311" t="s">
        <v>81</v>
      </c>
    </row>
    <row r="12" spans="2:6" ht="15" thickBot="1"/>
    <row r="13" spans="2:6" ht="15" thickBot="1">
      <c r="B13" s="519" t="s">
        <v>82</v>
      </c>
      <c r="C13" s="296" t="s">
        <v>83</v>
      </c>
      <c r="D13" s="297" t="s">
        <v>73</v>
      </c>
      <c r="E13" s="298" t="s">
        <v>74</v>
      </c>
    </row>
    <row r="14" spans="2:6">
      <c r="B14" s="520"/>
      <c r="C14" s="312">
        <v>20</v>
      </c>
      <c r="D14" s="313">
        <v>561.29999999999995</v>
      </c>
      <c r="E14" s="314" t="s">
        <v>39</v>
      </c>
    </row>
    <row r="15" spans="2:6" ht="15" thickBot="1">
      <c r="B15" s="521"/>
      <c r="C15" s="315">
        <v>30</v>
      </c>
      <c r="D15" s="308">
        <v>40.700000000000003</v>
      </c>
      <c r="E15" s="316" t="s">
        <v>39</v>
      </c>
    </row>
    <row r="18" spans="2:12" ht="15" thickBot="1"/>
    <row r="19" spans="2:12" ht="15" thickBot="1">
      <c r="B19" s="296" t="s">
        <v>84</v>
      </c>
      <c r="C19" s="317" t="s">
        <v>85</v>
      </c>
      <c r="D19" s="318" t="s">
        <v>74</v>
      </c>
      <c r="E19" s="319" t="s">
        <v>86</v>
      </c>
      <c r="F19" s="320" t="s">
        <v>74</v>
      </c>
      <c r="G19" s="321" t="s">
        <v>87</v>
      </c>
      <c r="H19" s="317" t="s">
        <v>86</v>
      </c>
      <c r="I19" s="320" t="s">
        <v>74</v>
      </c>
      <c r="J19" s="320" t="s">
        <v>85</v>
      </c>
      <c r="K19" s="320" t="s">
        <v>88</v>
      </c>
      <c r="L19" s="318" t="s">
        <v>89</v>
      </c>
    </row>
    <row r="20" spans="2:12">
      <c r="B20" s="299" t="s">
        <v>90</v>
      </c>
      <c r="C20" s="322">
        <f>37.822+41.807+32.703+16.955</f>
        <v>129.28700000000001</v>
      </c>
      <c r="D20" s="323" t="s">
        <v>81</v>
      </c>
      <c r="E20" s="324">
        <v>2</v>
      </c>
      <c r="F20" s="325" t="s">
        <v>15</v>
      </c>
      <c r="G20" s="326">
        <v>1</v>
      </c>
      <c r="H20" s="322"/>
      <c r="I20" s="325"/>
      <c r="J20" s="325"/>
      <c r="K20" s="325"/>
      <c r="L20" s="326"/>
    </row>
    <row r="21" spans="2:12">
      <c r="B21" s="303" t="s">
        <v>91</v>
      </c>
      <c r="C21" s="327">
        <f>49.428+15.284+76.76+76.871+24.904</f>
        <v>243.24700000000001</v>
      </c>
      <c r="D21" s="328" t="s">
        <v>81</v>
      </c>
      <c r="E21" s="329">
        <v>12</v>
      </c>
      <c r="F21" s="330" t="s">
        <v>15</v>
      </c>
      <c r="G21" s="331">
        <v>1</v>
      </c>
      <c r="H21" s="327">
        <v>1</v>
      </c>
      <c r="I21" s="330" t="s">
        <v>15</v>
      </c>
      <c r="J21" s="332">
        <v>2</v>
      </c>
      <c r="K21" s="332">
        <v>2</v>
      </c>
      <c r="L21" s="333">
        <v>3</v>
      </c>
    </row>
    <row r="22" spans="2:12">
      <c r="B22" s="303" t="s">
        <v>92</v>
      </c>
      <c r="C22" s="327">
        <f>84.891+13.616+85.897+130.937+37.557</f>
        <v>352.89800000000002</v>
      </c>
      <c r="D22" s="328" t="s">
        <v>81</v>
      </c>
      <c r="E22" s="329">
        <v>14</v>
      </c>
      <c r="F22" s="330" t="s">
        <v>15</v>
      </c>
      <c r="G22" s="331">
        <v>1</v>
      </c>
      <c r="H22" s="327"/>
      <c r="I22" s="330"/>
      <c r="J22" s="330"/>
      <c r="K22" s="330"/>
      <c r="L22" s="331"/>
    </row>
    <row r="23" spans="2:12">
      <c r="B23" s="303" t="s">
        <v>93</v>
      </c>
      <c r="C23" s="327">
        <f>78.284+64.98+8.769*2+8.689+13.168</f>
        <v>182.65900000000002</v>
      </c>
      <c r="D23" s="328" t="s">
        <v>81</v>
      </c>
      <c r="E23" s="329">
        <v>8</v>
      </c>
      <c r="F23" s="330" t="s">
        <v>15</v>
      </c>
      <c r="G23" s="331">
        <v>1</v>
      </c>
      <c r="H23" s="327"/>
      <c r="I23" s="330"/>
      <c r="J23" s="330"/>
      <c r="K23" s="330"/>
      <c r="L23" s="331"/>
    </row>
    <row r="24" spans="2:12" ht="15" thickBot="1">
      <c r="B24" s="307" t="s">
        <v>94</v>
      </c>
      <c r="C24" s="334">
        <f>1.537*5+113.766+25.72+8.763</f>
        <v>155.934</v>
      </c>
      <c r="D24" s="335" t="s">
        <v>81</v>
      </c>
      <c r="E24" s="336"/>
      <c r="F24" s="337" t="s">
        <v>15</v>
      </c>
      <c r="G24" s="338">
        <v>1</v>
      </c>
      <c r="H24" s="334"/>
      <c r="I24" s="337"/>
      <c r="J24" s="337"/>
      <c r="K24" s="337"/>
      <c r="L24" s="338"/>
    </row>
    <row r="27" spans="2:12">
      <c r="B27" s="295" t="s">
        <v>86</v>
      </c>
    </row>
    <row r="28" spans="2:12">
      <c r="B28" s="295" t="s">
        <v>95</v>
      </c>
    </row>
    <row r="29" spans="2:12">
      <c r="B29" s="295" t="s">
        <v>96</v>
      </c>
    </row>
  </sheetData>
  <mergeCells count="2">
    <mergeCell ref="B1:D1"/>
    <mergeCell ref="B13:B15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ნაერთი</vt:lpstr>
      <vt:lpstr>gare ter.</vt:lpstr>
      <vt:lpstr>tboqseli-betoni</vt:lpstr>
      <vt:lpstr>სანიაღვრე</vt:lpstr>
      <vt:lpstr>სარწყავი სისტემის მოწყობა</vt:lpstr>
      <vt:lpstr>დავალება</vt:lpstr>
      <vt:lpstr>თბოქსელი მოცულობები</vt:lpstr>
      <vt:lpstr>მოცულობები - ტერიტ.</vt:lpstr>
      <vt:lpstr>მოცულობები ყველა</vt:lpstr>
      <vt:lpstr>'gare ter.'!Print_Area</vt:lpstr>
      <vt:lpstr>'tboqseli-betoni'!Print_Area</vt:lpstr>
      <vt:lpstr>ნაერთი!Print_Area</vt:lpstr>
      <vt:lpstr>სანიაღვრე!Print_Area</vt:lpstr>
      <vt:lpstr>'gare ter.'!Print_Titles</vt:lpstr>
      <vt:lpstr>'tboqseli-betoni'!Print_Titles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Nino Vashakidze</cp:lastModifiedBy>
  <cp:lastPrinted>2023-05-24T09:27:39Z</cp:lastPrinted>
  <dcterms:created xsi:type="dcterms:W3CDTF">2023-05-23T07:30:26Z</dcterms:created>
  <dcterms:modified xsi:type="dcterms:W3CDTF">2025-09-13T09:01:48Z</dcterms:modified>
</cp:coreProperties>
</file>